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webextensions/taskpanes.xml" ContentType="application/vnd.ms-office.webextensiontaskpanes+xml"/>
  <Override PartName="/xl/webextensions/webextension1.xml" ContentType="application/vnd.ms-office.webextensi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microsoft.com/office/2011/relationships/webextensiontaskpanes" Target="xl/webextensions/taskpanes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3"/>
  <workbookPr/>
  <mc:AlternateContent xmlns:mc="http://schemas.openxmlformats.org/markup-compatibility/2006">
    <mc:Choice Requires="x15">
      <x15ac:absPath xmlns:x15ac="http://schemas.microsoft.com/office/spreadsheetml/2010/11/ac" url="C:\Users\lindo\Downloads\"/>
    </mc:Choice>
  </mc:AlternateContent>
  <xr:revisionPtr revIDLastSave="39" documentId="13_ncr:1_{FA85EB1F-0F3B-4AF7-976B-C1344DB1EC05}" xr6:coauthVersionLast="47" xr6:coauthVersionMax="47" xr10:uidLastSave="{48AA271D-F950-42EF-A7B7-F01C00095FB1}"/>
  <bookViews>
    <workbookView xWindow="-120" yWindow="-120" windowWidth="29040" windowHeight="15720" firstSheet="1" activeTab="1" xr2:uid="{00000000-000D-0000-FFFF-FFFF00000000}"/>
  </bookViews>
  <sheets>
    <sheet name="Master Table" sheetId="1" r:id="rId1"/>
    <sheet name="Calendar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1" i="1" l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C10" i="1"/>
  <c r="C9" i="1"/>
  <c r="C8" i="1"/>
  <c r="C7" i="1"/>
  <c r="C6" i="1"/>
  <c r="C11" i="1" s="1"/>
  <c r="K30" i="1"/>
  <c r="L30" i="1" s="1"/>
  <c r="C15" i="1"/>
  <c r="K15" i="1"/>
  <c r="L15" i="1" s="1"/>
  <c r="K20" i="1"/>
  <c r="L20" i="1" s="1"/>
  <c r="K14" i="1"/>
  <c r="L14" i="1" s="1"/>
  <c r="K16" i="1"/>
  <c r="L16" i="1" s="1"/>
  <c r="K18" i="1"/>
  <c r="L18" i="1" s="1"/>
  <c r="K19" i="1"/>
  <c r="L19" i="1" s="1"/>
  <c r="K22" i="1"/>
  <c r="L22" i="1" s="1"/>
  <c r="K21" i="1"/>
  <c r="L21" i="1" s="1"/>
  <c r="K17" i="1"/>
  <c r="L17" i="1" s="1"/>
  <c r="K23" i="1"/>
  <c r="L23" i="1" s="1"/>
  <c r="K24" i="1"/>
  <c r="L24" i="1" s="1"/>
  <c r="K25" i="1"/>
  <c r="L25" i="1" s="1"/>
  <c r="K26" i="1"/>
  <c r="L26" i="1" s="1"/>
  <c r="K27" i="1"/>
  <c r="L27" i="1" s="1"/>
  <c r="K28" i="1"/>
  <c r="L28" i="1" s="1"/>
  <c r="K29" i="1"/>
  <c r="L29" i="1" s="1"/>
  <c r="K31" i="1"/>
  <c r="L31" i="1" s="1"/>
  <c r="D23" i="2"/>
  <c r="H32" i="1"/>
  <c r="E25" i="2" l="1"/>
  <c r="F38" i="2"/>
  <c r="G49" i="2"/>
  <c r="E64" i="2"/>
  <c r="C79" i="2"/>
  <c r="E92" i="2"/>
  <c r="G105" i="2"/>
  <c r="A120" i="2"/>
  <c r="B133" i="2"/>
  <c r="C14" i="2"/>
  <c r="F27" i="2"/>
  <c r="G40" i="2"/>
  <c r="A53" i="2"/>
  <c r="A68" i="2"/>
  <c r="E81" i="2"/>
  <c r="F94" i="2"/>
  <c r="A109" i="2"/>
  <c r="B122" i="2"/>
  <c r="C135" i="2"/>
  <c r="D14" i="2"/>
  <c r="G27" i="2"/>
  <c r="A42" i="2"/>
  <c r="B53" i="2"/>
  <c r="B68" i="2"/>
  <c r="F81" i="2"/>
  <c r="G94" i="2"/>
  <c r="B109" i="2"/>
  <c r="C122" i="2"/>
  <c r="D135" i="2"/>
  <c r="A40" i="2"/>
  <c r="E79" i="2"/>
  <c r="A27" i="2"/>
  <c r="D120" i="2"/>
  <c r="B27" i="2"/>
  <c r="E66" i="2"/>
  <c r="A8" i="2"/>
  <c r="B12" i="2"/>
  <c r="G64" i="2"/>
  <c r="A107" i="2"/>
  <c r="G25" i="2"/>
  <c r="C120" i="2"/>
  <c r="B66" i="2"/>
  <c r="E51" i="2"/>
  <c r="C94" i="2"/>
  <c r="G133" i="2"/>
  <c r="D27" i="2"/>
  <c r="F51" i="2"/>
  <c r="D94" i="2"/>
  <c r="G107" i="2"/>
  <c r="G6" i="2"/>
  <c r="G14" i="2"/>
  <c r="C29" i="2"/>
  <c r="D42" i="2"/>
  <c r="A55" i="2"/>
  <c r="G73" i="2"/>
  <c r="B88" i="2"/>
  <c r="C101" i="2"/>
  <c r="F122" i="2"/>
  <c r="A16" i="2"/>
  <c r="A75" i="2"/>
  <c r="F114" i="2"/>
  <c r="B129" i="2"/>
  <c r="E12" i="2"/>
  <c r="C51" i="2"/>
  <c r="A94" i="2"/>
  <c r="F12" i="2"/>
  <c r="E120" i="2"/>
  <c r="G12" i="2"/>
  <c r="E42" i="2"/>
  <c r="C75" i="2"/>
  <c r="C12" i="2"/>
  <c r="D79" i="2"/>
  <c r="D12" i="2"/>
  <c r="B107" i="2"/>
  <c r="C107" i="2"/>
  <c r="C40" i="2"/>
  <c r="B94" i="2"/>
  <c r="C27" i="2"/>
  <c r="E107" i="2"/>
  <c r="G66" i="2"/>
  <c r="C42" i="2"/>
  <c r="D68" i="2"/>
  <c r="D109" i="2"/>
  <c r="E114" i="2"/>
  <c r="E34" i="2"/>
  <c r="C60" i="2"/>
  <c r="B75" i="2"/>
  <c r="D88" i="2"/>
  <c r="G114" i="2"/>
  <c r="A129" i="2"/>
  <c r="F101" i="2"/>
  <c r="D8" i="2"/>
  <c r="E21" i="2"/>
  <c r="G34" i="2"/>
  <c r="A47" i="2"/>
  <c r="G60" i="2"/>
  <c r="D75" i="2"/>
  <c r="F88" i="2"/>
  <c r="G101" i="2"/>
  <c r="C129" i="2"/>
  <c r="B47" i="2"/>
  <c r="G88" i="2"/>
  <c r="D116" i="2"/>
  <c r="A23" i="2"/>
  <c r="D47" i="2"/>
  <c r="C62" i="2"/>
  <c r="G75" i="2"/>
  <c r="C103" i="2"/>
  <c r="F129" i="2"/>
  <c r="D36" i="2"/>
  <c r="E47" i="2"/>
  <c r="D62" i="2"/>
  <c r="A77" i="2"/>
  <c r="C90" i="2"/>
  <c r="D103" i="2"/>
  <c r="G116" i="2"/>
  <c r="G129" i="2"/>
  <c r="B120" i="2"/>
  <c r="A66" i="2"/>
  <c r="E133" i="2"/>
  <c r="D107" i="2"/>
  <c r="D40" i="2"/>
  <c r="A14" i="2"/>
  <c r="F107" i="2"/>
  <c r="B14" i="2"/>
  <c r="E94" i="2"/>
  <c r="C53" i="2"/>
  <c r="B101" i="2"/>
  <c r="C8" i="2"/>
  <c r="A36" i="2"/>
  <c r="A51" i="2"/>
  <c r="F92" i="2"/>
  <c r="D133" i="2"/>
  <c r="F79" i="2"/>
  <c r="C66" i="2"/>
  <c r="F133" i="2"/>
  <c r="D66" i="2"/>
  <c r="F120" i="2"/>
  <c r="E40" i="2"/>
  <c r="C81" i="2"/>
  <c r="G120" i="2"/>
  <c r="A135" i="2"/>
  <c r="G51" i="2"/>
  <c r="A122" i="2"/>
  <c r="B42" i="2"/>
  <c r="A96" i="2"/>
  <c r="E135" i="2"/>
  <c r="B29" i="2"/>
  <c r="A83" i="2"/>
  <c r="G135" i="2"/>
  <c r="A137" i="2"/>
  <c r="F21" i="2"/>
  <c r="A62" i="2"/>
  <c r="A103" i="2"/>
  <c r="D129" i="2"/>
  <c r="F8" i="2"/>
  <c r="B62" i="2"/>
  <c r="A90" i="2"/>
  <c r="E116" i="2"/>
  <c r="G8" i="2"/>
  <c r="B90" i="2"/>
  <c r="B10" i="2"/>
  <c r="D90" i="2"/>
  <c r="C10" i="2"/>
  <c r="F23" i="2"/>
  <c r="F36" i="2"/>
  <c r="G47" i="2"/>
  <c r="F62" i="2"/>
  <c r="C77" i="2"/>
  <c r="E90" i="2"/>
  <c r="F103" i="2"/>
  <c r="B118" i="2"/>
  <c r="B131" i="2"/>
  <c r="C116" i="2"/>
  <c r="B36" i="2"/>
  <c r="F75" i="2"/>
  <c r="E129" i="2"/>
  <c r="G103" i="2"/>
  <c r="C118" i="2"/>
  <c r="C131" i="2"/>
  <c r="G38" i="2"/>
  <c r="C133" i="2"/>
  <c r="B51" i="2"/>
  <c r="G92" i="2"/>
  <c r="B40" i="2"/>
  <c r="D51" i="2"/>
  <c r="G79" i="2"/>
  <c r="A81" i="2"/>
  <c r="E27" i="2"/>
  <c r="F40" i="2"/>
  <c r="D81" i="2"/>
  <c r="B135" i="2"/>
  <c r="E14" i="2"/>
  <c r="A29" i="2"/>
  <c r="C68" i="2"/>
  <c r="G81" i="2"/>
  <c r="C109" i="2"/>
  <c r="D122" i="2"/>
  <c r="F14" i="2"/>
  <c r="G53" i="2"/>
  <c r="E122" i="2"/>
  <c r="D29" i="2"/>
  <c r="B55" i="2"/>
  <c r="C88" i="2"/>
  <c r="D101" i="2"/>
  <c r="G127" i="2"/>
  <c r="B8" i="2"/>
  <c r="B16" i="2"/>
  <c r="F42" i="2"/>
  <c r="E101" i="2"/>
  <c r="D21" i="2"/>
  <c r="F34" i="2"/>
  <c r="G42" i="2"/>
  <c r="D60" i="2"/>
  <c r="E88" i="2"/>
  <c r="B116" i="2"/>
  <c r="E8" i="2"/>
  <c r="E75" i="2"/>
  <c r="G21" i="2"/>
  <c r="C47" i="2"/>
  <c r="B103" i="2"/>
  <c r="C36" i="2"/>
  <c r="F116" i="2"/>
  <c r="A10" i="2"/>
  <c r="E23" i="2"/>
  <c r="E36" i="2"/>
  <c r="F47" i="2"/>
  <c r="E62" i="2"/>
  <c r="B77" i="2"/>
  <c r="E103" i="2"/>
  <c r="A118" i="2"/>
  <c r="A131" i="2"/>
  <c r="D10" i="2"/>
  <c r="G23" i="2"/>
  <c r="G36" i="2"/>
  <c r="A49" i="2"/>
  <c r="G62" i="2"/>
  <c r="D77" i="2"/>
  <c r="F90" i="2"/>
  <c r="E10" i="2"/>
  <c r="A25" i="2"/>
  <c r="A38" i="2"/>
  <c r="B49" i="2"/>
  <c r="A64" i="2"/>
  <c r="E77" i="2"/>
  <c r="G90" i="2"/>
  <c r="A105" i="2"/>
  <c r="D118" i="2"/>
  <c r="D131" i="2"/>
  <c r="F25" i="2"/>
  <c r="F10" i="2"/>
  <c r="B25" i="2"/>
  <c r="C38" i="2"/>
  <c r="C49" i="2"/>
  <c r="B64" i="2"/>
  <c r="F77" i="2"/>
  <c r="A92" i="2"/>
  <c r="C105" i="2"/>
  <c r="E118" i="2"/>
  <c r="E131" i="2"/>
  <c r="G10" i="2"/>
  <c r="C25" i="2"/>
  <c r="D38" i="2"/>
  <c r="E49" i="2"/>
  <c r="C64" i="2"/>
  <c r="G77" i="2"/>
  <c r="C92" i="2"/>
  <c r="D105" i="2"/>
  <c r="F118" i="2"/>
  <c r="G131" i="2"/>
  <c r="A12" i="2"/>
  <c r="D25" i="2"/>
  <c r="E38" i="2"/>
  <c r="F49" i="2"/>
  <c r="D64" i="2"/>
  <c r="A79" i="2"/>
  <c r="D92" i="2"/>
  <c r="E105" i="2"/>
  <c r="G118" i="2"/>
  <c r="A133" i="2"/>
  <c r="K32" i="1"/>
  <c r="L32" i="1" l="1"/>
</calcChain>
</file>

<file path=xl/sharedStrings.xml><?xml version="1.0" encoding="utf-8"?>
<sst xmlns="http://schemas.openxmlformats.org/spreadsheetml/2006/main" count="215" uniqueCount="107">
  <si>
    <t>AASU Social Committee 2026-27 Event Budget &amp; Calendar</t>
  </si>
  <si>
    <t>BUDGET BY CATEGORY</t>
  </si>
  <si>
    <t>Category</t>
  </si>
  <si>
    <t>Total Cost</t>
  </si>
  <si>
    <t>Free</t>
  </si>
  <si>
    <t>Ticketed</t>
  </si>
  <si>
    <t>Collab</t>
  </si>
  <si>
    <t>Outing</t>
  </si>
  <si>
    <t>Member-Led</t>
  </si>
  <si>
    <t>TOTAL</t>
  </si>
  <si>
    <t>Event Name</t>
  </si>
  <si>
    <t>Date</t>
  </si>
  <si>
    <t>Day</t>
  </si>
  <si>
    <t>Semester</t>
  </si>
  <si>
    <t>Venue</t>
  </si>
  <si>
    <t>Costs</t>
  </si>
  <si>
    <t>ATP</t>
  </si>
  <si>
    <t>Est. Attendance</t>
  </si>
  <si>
    <t>Ticket Revenue</t>
  </si>
  <si>
    <t>Net Cost</t>
  </si>
  <si>
    <t>Notes</t>
  </si>
  <si>
    <t>Action Items</t>
  </si>
  <si>
    <t>AASU Welcome Event</t>
  </si>
  <si>
    <t>Fall</t>
  </si>
  <si>
    <t>Felipes</t>
  </si>
  <si>
    <t>RC orientation week</t>
  </si>
  <si>
    <t>Reach out to Danielle for Felipes contact</t>
  </si>
  <si>
    <t>Fall Party (Denim After Dark)</t>
  </si>
  <si>
    <t>TBD</t>
  </si>
  <si>
    <t>River Picnic</t>
  </si>
  <si>
    <t>Charles River</t>
  </si>
  <si>
    <t>Contingent on weather+ 2-case Friday</t>
  </si>
  <si>
    <t>Active Outing (Fall)</t>
  </si>
  <si>
    <t>Golf/tennis/apple picking; let RCs run with it</t>
  </si>
  <si>
    <t>AASU Happy Hour</t>
  </si>
  <si>
    <t>TBD (Harvard Sq)</t>
  </si>
  <si>
    <t>Open bar til tab rus out</t>
  </si>
  <si>
    <t>Black Men's &amp; Women's Dinners</t>
  </si>
  <si>
    <t>Barcelona + Painted Burro</t>
  </si>
  <si>
    <t>Prix fixe dinner</t>
  </si>
  <si>
    <t>Saints &amp; Sinners</t>
  </si>
  <si>
    <t>Halloween party. Seeking large venue (Bijou, The Grand, or similar)</t>
  </si>
  <si>
    <t>Profit split with After Hours</t>
  </si>
  <si>
    <t>Game Night (HBS/HLS)</t>
  </si>
  <si>
    <t>Mellon Lounge</t>
  </si>
  <si>
    <t>Popcorn, beverages, snacks</t>
  </si>
  <si>
    <t>Harvard-Yale Tent</t>
  </si>
  <si>
    <t>HBS Campus</t>
  </si>
  <si>
    <t>HY at home this year</t>
  </si>
  <si>
    <t>RC/EC Member Event (Fall)</t>
  </si>
  <si>
    <t>Various</t>
  </si>
  <si>
    <t>Standing budget - $200 x 5 misc events throughout fall semester</t>
  </si>
  <si>
    <t>Spring Party (Millennium)</t>
  </si>
  <si>
    <t>Spring</t>
  </si>
  <si>
    <t>Fitzhugh Conference Afterparty</t>
  </si>
  <si>
    <t>Open bar</t>
  </si>
  <si>
    <t>Active Outing (Spring)</t>
  </si>
  <si>
    <t>Paintball/tennis/etc</t>
  </si>
  <si>
    <t>RC/EC Member Event (Spring)</t>
  </si>
  <si>
    <t>$200 each, 5 events</t>
  </si>
  <si>
    <t>EC Sendoff</t>
  </si>
  <si>
    <t>EC Men's &amp; Women's Retreat</t>
  </si>
  <si>
    <t>Misc / Buffer</t>
  </si>
  <si>
    <t>Both</t>
  </si>
  <si>
    <t>HY overruns, event losses</t>
  </si>
  <si>
    <t>Events auto-populate from Master Table via TEXTJOIN formula. Add events to the Master Table, and they appear here.</t>
  </si>
  <si>
    <t>August 2026</t>
  </si>
  <si>
    <t>Sun</t>
  </si>
  <si>
    <t>Mon</t>
  </si>
  <si>
    <t>Tue</t>
  </si>
  <si>
    <t>Wed</t>
  </si>
  <si>
    <t>Thu</t>
  </si>
  <si>
    <t>Fri</t>
  </si>
  <si>
    <t>Sat</t>
  </si>
  <si>
    <t>September 2026</t>
  </si>
  <si>
    <t>RC Orientation Begins</t>
  </si>
  <si>
    <t>Labor Day (No Classes)</t>
  </si>
  <si>
    <t>Classes Begin</t>
  </si>
  <si>
    <t>October 2026</t>
  </si>
  <si>
    <t>Columbus Day (No Classes)</t>
  </si>
  <si>
    <t>November 2026</t>
  </si>
  <si>
    <t>Veterans Day</t>
  </si>
  <si>
    <t>Thanksgiving Break Begins</t>
  </si>
  <si>
    <t>Thanksgiving</t>
  </si>
  <si>
    <t>Thanksgiving Break</t>
  </si>
  <si>
    <t>December 2026</t>
  </si>
  <si>
    <t>Fall Reading Period</t>
  </si>
  <si>
    <t>Fall Exams Begin</t>
  </si>
  <si>
    <t>Fall Exams End</t>
  </si>
  <si>
    <t>Christmas Day</t>
  </si>
  <si>
    <t>New Year's Eve</t>
  </si>
  <si>
    <t>January 2027</t>
  </si>
  <si>
    <t>New Year's Day</t>
  </si>
  <si>
    <t>MLK Day (No Classes)</t>
  </si>
  <si>
    <t>Spring Term Begins</t>
  </si>
  <si>
    <t>February 2027</t>
  </si>
  <si>
    <t>Presidents Day (No Classes)</t>
  </si>
  <si>
    <t>March 2027</t>
  </si>
  <si>
    <t>Spring Break Begins</t>
  </si>
  <si>
    <t>Spring Break Ends</t>
  </si>
  <si>
    <t>April 2027</t>
  </si>
  <si>
    <t>Easter</t>
  </si>
  <si>
    <t>May 2027</t>
  </si>
  <si>
    <t>Spring Exams Begin</t>
  </si>
  <si>
    <t>Spring Exams End</t>
  </si>
  <si>
    <t>Memorial Day</t>
  </si>
  <si>
    <t>Commencement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</si>
</sst>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"/>
    <numFmt numFmtId="165" formatCode="mmm\ dd\,\ yyyy"/>
  </numFmts>
  <fonts count="17">
    <font>
      <sz val="11"/>
      <color theme="1"/>
      <name val="Calibri"/>
      <family val="2"/>
      <scheme val="minor"/>
    </font>
    <font>
      <b/>
      <sz val="14"/>
      <name val="Calibri"/>
    </font>
    <font>
      <b/>
      <sz val="11"/>
      <name val="Calibri"/>
    </font>
    <font>
      <b/>
      <sz val="11"/>
      <color rgb="FFFFFFFF"/>
      <name val="Calibri"/>
    </font>
    <font>
      <i/>
      <sz val="9"/>
      <color rgb="FF666666"/>
      <name val="Calibri"/>
    </font>
    <font>
      <b/>
      <sz val="10"/>
      <color rgb="FFFFFFFF"/>
      <name val="Calibri"/>
    </font>
    <font>
      <sz val="9"/>
      <color rgb="FF666666"/>
      <name val="Calibri"/>
    </font>
    <font>
      <sz val="9"/>
      <name val="Calibri"/>
    </font>
    <font>
      <b/>
      <sz val="11"/>
      <color theme="1"/>
      <name val="Calibri"/>
      <family val="2"/>
      <scheme val="minor"/>
    </font>
    <font>
      <b/>
      <sz val="14"/>
      <color rgb="FFFFFFFF"/>
      <name val="Calibri"/>
    </font>
    <font>
      <sz val="10"/>
      <color rgb="FF666666"/>
      <name val="Calibri"/>
    </font>
    <font>
      <i/>
      <sz val="9"/>
      <color rgb="FF2E7D32"/>
      <name val="Calibri"/>
    </font>
    <font>
      <sz val="10"/>
      <color theme="1"/>
      <name val="Calibri"/>
      <family val="2"/>
      <scheme val="minor"/>
    </font>
    <font>
      <i/>
      <sz val="9"/>
      <color rgb="FF808080"/>
      <name val="Calibri"/>
    </font>
    <font>
      <sz val="11"/>
      <color rgb="FF0000FF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FF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rgb="FFF2F2F2"/>
        <bgColor indexed="64"/>
      </patternFill>
    </fill>
    <fill>
      <patternFill patternType="solid">
        <fgColor rgb="FF2E7D32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rgb="FFFFC00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D0D0D0"/>
      </left>
      <right style="thin">
        <color rgb="FFD0D0D0"/>
      </right>
      <top style="thin">
        <color rgb="FFD0D0D0"/>
      </top>
      <bottom style="thin">
        <color rgb="FFD0D0D0"/>
      </bottom>
      <diagonal/>
    </border>
    <border>
      <left/>
      <right/>
      <top/>
      <bottom style="thin">
        <color rgb="FFD0D0D0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3" fillId="4" borderId="1" xfId="0" applyFont="1" applyFill="1" applyBorder="1" applyAlignment="1">
      <alignment horizontal="center" wrapText="1"/>
    </xf>
    <xf numFmtId="0" fontId="0" fillId="0" borderId="2" xfId="0" applyBorder="1"/>
    <xf numFmtId="0" fontId="8" fillId="0" borderId="3" xfId="0" applyFont="1" applyBorder="1"/>
    <xf numFmtId="164" fontId="2" fillId="0" borderId="4" xfId="0" applyNumberFormat="1" applyFont="1" applyBorder="1"/>
    <xf numFmtId="0" fontId="5" fillId="5" borderId="5" xfId="0" applyFont="1" applyFill="1" applyBorder="1" applyAlignment="1">
      <alignment horizontal="center"/>
    </xf>
    <xf numFmtId="0" fontId="0" fillId="2" borderId="5" xfId="0" applyFill="1" applyBorder="1"/>
    <xf numFmtId="0" fontId="0" fillId="0" borderId="5" xfId="0" applyBorder="1"/>
    <xf numFmtId="0" fontId="6" fillId="2" borderId="5" xfId="0" applyFont="1" applyFill="1" applyBorder="1" applyAlignment="1">
      <alignment horizontal="right" vertical="top"/>
    </xf>
    <xf numFmtId="0" fontId="7" fillId="2" borderId="5" xfId="0" applyFont="1" applyFill="1" applyBorder="1" applyAlignment="1">
      <alignment vertical="top" wrapText="1"/>
    </xf>
    <xf numFmtId="0" fontId="7" fillId="0" borderId="5" xfId="0" applyFont="1" applyBorder="1" applyAlignment="1">
      <alignment vertical="top" wrapText="1"/>
    </xf>
    <xf numFmtId="0" fontId="10" fillId="2" borderId="5" xfId="0" applyFont="1" applyFill="1" applyBorder="1" applyAlignment="1">
      <alignment horizontal="left" vertical="top"/>
    </xf>
    <xf numFmtId="0" fontId="10" fillId="0" borderId="5" xfId="0" applyFont="1" applyBorder="1" applyAlignment="1">
      <alignment horizontal="left" vertical="top"/>
    </xf>
    <xf numFmtId="0" fontId="11" fillId="2" borderId="5" xfId="0" applyFont="1" applyFill="1" applyBorder="1" applyAlignment="1">
      <alignment vertical="top" wrapText="1"/>
    </xf>
    <xf numFmtId="0" fontId="11" fillId="0" borderId="5" xfId="0" applyFont="1" applyBorder="1" applyAlignment="1">
      <alignment vertical="top" wrapText="1"/>
    </xf>
    <xf numFmtId="0" fontId="12" fillId="0" borderId="5" xfId="0" applyFont="1" applyBorder="1" applyAlignment="1">
      <alignment horizontal="left" vertical="top"/>
    </xf>
    <xf numFmtId="0" fontId="12" fillId="2" borderId="5" xfId="0" applyFont="1" applyFill="1" applyBorder="1" applyAlignment="1">
      <alignment horizontal="left" vertical="top"/>
    </xf>
    <xf numFmtId="0" fontId="1" fillId="0" borderId="0" xfId="0" applyFont="1"/>
    <xf numFmtId="0" fontId="13" fillId="0" borderId="5" xfId="0" applyFont="1" applyBorder="1" applyAlignment="1">
      <alignment vertical="top" wrapText="1"/>
    </xf>
    <xf numFmtId="0" fontId="13" fillId="2" borderId="5" xfId="0" applyFont="1" applyFill="1" applyBorder="1" applyAlignment="1">
      <alignment vertical="top" wrapText="1"/>
    </xf>
    <xf numFmtId="164" fontId="14" fillId="0" borderId="1" xfId="0" applyNumberFormat="1" applyFont="1" applyBorder="1"/>
    <xf numFmtId="0" fontId="14" fillId="0" borderId="1" xfId="0" applyFont="1" applyBorder="1"/>
    <xf numFmtId="164" fontId="14" fillId="0" borderId="2" xfId="0" applyNumberFormat="1" applyFont="1" applyBorder="1"/>
    <xf numFmtId="0" fontId="14" fillId="0" borderId="2" xfId="0" applyFont="1" applyBorder="1"/>
    <xf numFmtId="164" fontId="15" fillId="0" borderId="1" xfId="0" applyNumberFormat="1" applyFont="1" applyBorder="1"/>
    <xf numFmtId="164" fontId="15" fillId="0" borderId="2" xfId="0" applyNumberFormat="1" applyFont="1" applyBorder="1"/>
    <xf numFmtId="0" fontId="0" fillId="0" borderId="0" xfId="0"/>
    <xf numFmtId="164" fontId="15" fillId="6" borderId="1" xfId="0" applyNumberFormat="1" applyFont="1" applyFill="1" applyBorder="1"/>
    <xf numFmtId="164" fontId="15" fillId="6" borderId="2" xfId="0" applyNumberFormat="1" applyFont="1" applyFill="1" applyBorder="1"/>
    <xf numFmtId="164" fontId="2" fillId="6" borderId="4" xfId="0" applyNumberFormat="1" applyFont="1" applyFill="1" applyBorder="1"/>
    <xf numFmtId="164" fontId="16" fillId="0" borderId="4" xfId="0" applyNumberFormat="1" applyFont="1" applyBorder="1"/>
    <xf numFmtId="0" fontId="9" fillId="4" borderId="6" xfId="0" applyFont="1" applyFill="1" applyBorder="1" applyAlignment="1">
      <alignment horizontal="center" vertical="center"/>
    </xf>
    <xf numFmtId="0" fontId="8" fillId="0" borderId="0" xfId="0" applyFont="1"/>
    <xf numFmtId="0" fontId="8" fillId="3" borderId="0" xfId="0" applyFont="1" applyFill="1"/>
    <xf numFmtId="164" fontId="0" fillId="0" borderId="0" xfId="0" applyNumberFormat="1"/>
    <xf numFmtId="164" fontId="8" fillId="0" borderId="0" xfId="0" applyNumberFormat="1" applyFont="1"/>
    <xf numFmtId="0" fontId="8" fillId="3" borderId="0" xfId="0" applyFont="1" applyFill="1" applyAlignment="1">
      <alignment horizontal="right"/>
    </xf>
    <xf numFmtId="0" fontId="3" fillId="4" borderId="1" xfId="0" applyFont="1" applyFill="1" applyBorder="1" applyAlignment="1">
      <alignment horizontal="left" wrapText="1"/>
    </xf>
    <xf numFmtId="0" fontId="0" fillId="0" borderId="1" xfId="0" applyBorder="1" applyAlignment="1">
      <alignment horizontal="left"/>
    </xf>
    <xf numFmtId="165" fontId="0" fillId="0" borderId="1" xfId="0" applyNumberFormat="1" applyBorder="1" applyAlignment="1">
      <alignment horizontal="left"/>
    </xf>
    <xf numFmtId="0" fontId="0" fillId="0" borderId="2" xfId="0" applyBorder="1" applyAlignment="1">
      <alignment horizontal="left"/>
    </xf>
    <xf numFmtId="165" fontId="0" fillId="0" borderId="2" xfId="0" applyNumberForma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8" fillId="0" borderId="3" xfId="0" applyFont="1" applyBorder="1" applyAlignment="1">
      <alignment horizontal="left"/>
    </xf>
    <xf numFmtId="0" fontId="4" fillId="0" borderId="0" xfId="0" applyFont="1" applyAlignment="1"/>
    <xf numFmtId="0" fontId="0" fillId="0" borderId="0" xfId="0" applyAlignment="1"/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1" width="875" row="2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605754C0-C0DF-42F8-AF5F-E04F38341FCA}">
  <we:reference id="WA200009404" version="1.0.0.8" store="en-US" storeType="omex"/>
  <we:alternateReferences>
    <we:reference id="WA200009404" version="1.0.0.8" store="en-US" storeType="omex"/>
  </we:alternateReferences>
  <we:properties>
    <we:property name="claude.fileId" value="&quot;47f8867c-375e-4eca-b2f2-e4c07d980065&quot;"/>
  </we:properties>
  <we:bindings/>
  <we:snapshot xmlns:r="http://schemas.openxmlformats.org/officeDocument/2006/relationships"/>
  <we:extLst>
    <a:ext xmlns:a="http://schemas.openxmlformats.org/drawingml/2006/main" uri="{D87F86FE-615C-45B5-9D79-34F1136793EB}">
      <we:containsCustomFunctions/>
    </a:ext>
  </we:extLst>
</we:webextension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2"/>
  <sheetViews>
    <sheetView topLeftCell="A6" workbookViewId="0">
      <selection activeCell="B13" sqref="B13:G32"/>
    </sheetView>
  </sheetViews>
  <sheetFormatPr defaultRowHeight="15"/>
  <cols>
    <col min="1" max="1" width="9.140625" style="27"/>
    <col min="2" max="2" width="30.42578125" bestFit="1" customWidth="1"/>
    <col min="3" max="4" width="15.7109375" customWidth="1"/>
    <col min="5" max="5" width="9.140625" bestFit="1" customWidth="1"/>
    <col min="6" max="6" width="12.140625" bestFit="1" customWidth="1"/>
    <col min="7" max="7" width="25.28515625" customWidth="1"/>
    <col min="8" max="8" width="13.85546875" bestFit="1" customWidth="1"/>
    <col min="9" max="9" width="11.140625" bestFit="1" customWidth="1"/>
    <col min="10" max="12" width="14" customWidth="1"/>
    <col min="13" max="14" width="31.85546875" bestFit="1" customWidth="1"/>
  </cols>
  <sheetData>
    <row r="1" spans="2:14" s="27" customFormat="1"/>
    <row r="2" spans="2:14" ht="18.75">
      <c r="B2" s="18" t="s">
        <v>0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</row>
    <row r="4" spans="2:14">
      <c r="B4" s="33" t="s">
        <v>1</v>
      </c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</row>
    <row r="5" spans="2:14">
      <c r="B5" s="34" t="s">
        <v>2</v>
      </c>
      <c r="C5" s="37" t="s">
        <v>3</v>
      </c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</row>
    <row r="6" spans="2:14">
      <c r="B6" s="27" t="s">
        <v>4</v>
      </c>
      <c r="C6" s="35">
        <f>SUMIFS(H14:H31,F14:F31,B6)</f>
        <v>44500</v>
      </c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</row>
    <row r="7" spans="2:14">
      <c r="B7" s="27" t="s">
        <v>5</v>
      </c>
      <c r="C7" s="35">
        <f>SUMIFS(H14:H31,F14:F31,B7)</f>
        <v>11000</v>
      </c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</row>
    <row r="8" spans="2:14">
      <c r="B8" s="27" t="s">
        <v>6</v>
      </c>
      <c r="C8" s="35">
        <f>SUMIFS(H14:H31,F14:F31,B8)</f>
        <v>3000</v>
      </c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</row>
    <row r="9" spans="2:14">
      <c r="B9" s="27" t="s">
        <v>7</v>
      </c>
      <c r="C9" s="35">
        <f>SUMIFS(H14:H31,F14:F31,B9)</f>
        <v>5000</v>
      </c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</row>
    <row r="10" spans="2:14">
      <c r="B10" s="27" t="s">
        <v>8</v>
      </c>
      <c r="C10" s="35">
        <f>SUMIFS(H14:H31,F14:F31,B10)</f>
        <v>2000</v>
      </c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</row>
    <row r="11" spans="2:14">
      <c r="B11" s="33" t="s">
        <v>9</v>
      </c>
      <c r="C11" s="36">
        <f>SUM(C6:C10)</f>
        <v>65500</v>
      </c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</row>
    <row r="12" spans="2:14" s="27" customFormat="1">
      <c r="B12" s="33"/>
      <c r="C12" s="36"/>
    </row>
    <row r="13" spans="2:14" ht="30.75">
      <c r="B13" s="38" t="s">
        <v>10</v>
      </c>
      <c r="C13" s="38" t="s">
        <v>11</v>
      </c>
      <c r="D13" s="38" t="s">
        <v>12</v>
      </c>
      <c r="E13" s="38" t="s">
        <v>13</v>
      </c>
      <c r="F13" s="38" t="s">
        <v>2</v>
      </c>
      <c r="G13" s="38" t="s">
        <v>14</v>
      </c>
      <c r="H13" s="2" t="s">
        <v>15</v>
      </c>
      <c r="I13" s="2" t="s">
        <v>16</v>
      </c>
      <c r="J13" s="2" t="s">
        <v>17</v>
      </c>
      <c r="K13" s="2" t="s">
        <v>18</v>
      </c>
      <c r="L13" s="2" t="s">
        <v>19</v>
      </c>
      <c r="M13" s="2" t="s">
        <v>20</v>
      </c>
      <c r="N13" s="2" t="s">
        <v>21</v>
      </c>
    </row>
    <row r="14" spans="2:14">
      <c r="B14" s="39" t="s">
        <v>22</v>
      </c>
      <c r="C14" s="40">
        <v>46274</v>
      </c>
      <c r="D14" s="40" t="str">
        <f>IF(C14="","",TEXT(C14,"ddd"))</f>
        <v>Wed</v>
      </c>
      <c r="E14" s="39" t="s">
        <v>23</v>
      </c>
      <c r="F14" s="39" t="s">
        <v>4</v>
      </c>
      <c r="G14" s="39" t="s">
        <v>24</v>
      </c>
      <c r="H14" s="21">
        <v>3500</v>
      </c>
      <c r="I14" s="21"/>
      <c r="J14" s="22"/>
      <c r="K14" s="25">
        <f t="shared" ref="K14:K31" si="0">IF(AND(I14&gt;0,J14&gt;0),I14*J14,0)</f>
        <v>0</v>
      </c>
      <c r="L14" s="28">
        <f>H14-K14</f>
        <v>3500</v>
      </c>
      <c r="M14" s="1" t="s">
        <v>25</v>
      </c>
      <c r="N14" s="1" t="s">
        <v>26</v>
      </c>
    </row>
    <row r="15" spans="2:14">
      <c r="B15" s="39" t="s">
        <v>27</v>
      </c>
      <c r="C15" s="40">
        <f>+C14+1</f>
        <v>46275</v>
      </c>
      <c r="D15" s="40" t="str">
        <f t="shared" ref="D15:D31" si="1">IF(C15="","",TEXT(C15,"ddd"))</f>
        <v>Thu</v>
      </c>
      <c r="E15" s="39" t="s">
        <v>23</v>
      </c>
      <c r="F15" s="39" t="s">
        <v>5</v>
      </c>
      <c r="G15" s="39" t="s">
        <v>28</v>
      </c>
      <c r="H15" s="21">
        <v>5000</v>
      </c>
      <c r="I15" s="21">
        <v>40</v>
      </c>
      <c r="J15" s="22">
        <v>200</v>
      </c>
      <c r="K15" s="25">
        <f>IF(AND(I15&gt;0,J15&gt;0),I15*J15,0)</f>
        <v>8000</v>
      </c>
      <c r="L15" s="28">
        <f>H15-K15</f>
        <v>-3000</v>
      </c>
      <c r="M15" s="1"/>
      <c r="N15" s="1"/>
    </row>
    <row r="16" spans="2:14">
      <c r="B16" s="39" t="s">
        <v>29</v>
      </c>
      <c r="C16" s="40">
        <v>46290</v>
      </c>
      <c r="D16" s="40" t="str">
        <f t="shared" si="1"/>
        <v>Fri</v>
      </c>
      <c r="E16" s="39" t="s">
        <v>23</v>
      </c>
      <c r="F16" s="39" t="s">
        <v>4</v>
      </c>
      <c r="G16" s="39" t="s">
        <v>30</v>
      </c>
      <c r="H16" s="21">
        <v>1000</v>
      </c>
      <c r="I16" s="21"/>
      <c r="J16" s="22"/>
      <c r="K16" s="25">
        <f>IF(AND(I16&gt;0,J16&gt;0),I16*J16,0)</f>
        <v>0</v>
      </c>
      <c r="L16" s="28">
        <f>H16-K16</f>
        <v>1000</v>
      </c>
      <c r="M16" s="1" t="s">
        <v>31</v>
      </c>
      <c r="N16" s="1"/>
    </row>
    <row r="17" spans="2:14">
      <c r="B17" s="39" t="s">
        <v>32</v>
      </c>
      <c r="C17" s="40">
        <v>46298</v>
      </c>
      <c r="D17" s="40" t="str">
        <f t="shared" si="1"/>
        <v>Sat</v>
      </c>
      <c r="E17" s="39" t="s">
        <v>23</v>
      </c>
      <c r="F17" s="39" t="s">
        <v>7</v>
      </c>
      <c r="G17" s="39" t="s">
        <v>28</v>
      </c>
      <c r="H17" s="21">
        <v>3000</v>
      </c>
      <c r="I17" s="21">
        <v>50</v>
      </c>
      <c r="J17" s="22">
        <v>40</v>
      </c>
      <c r="K17" s="25">
        <f>IF(AND(I17&gt;0,J17&gt;0),I17*J17,0)</f>
        <v>2000</v>
      </c>
      <c r="L17" s="28">
        <f>H17-K17</f>
        <v>1000</v>
      </c>
      <c r="M17" s="1" t="s">
        <v>33</v>
      </c>
      <c r="N17" s="1"/>
    </row>
    <row r="18" spans="2:14">
      <c r="B18" s="39" t="s">
        <v>34</v>
      </c>
      <c r="C18" s="40">
        <v>46310</v>
      </c>
      <c r="D18" s="40" t="str">
        <f t="shared" si="1"/>
        <v>Thu</v>
      </c>
      <c r="E18" s="39" t="s">
        <v>23</v>
      </c>
      <c r="F18" s="39" t="s">
        <v>4</v>
      </c>
      <c r="G18" s="39" t="s">
        <v>35</v>
      </c>
      <c r="H18" s="21">
        <v>2000</v>
      </c>
      <c r="I18" s="21"/>
      <c r="J18" s="22"/>
      <c r="K18" s="25">
        <f t="shared" si="0"/>
        <v>0</v>
      </c>
      <c r="L18" s="28">
        <f>H18-K18</f>
        <v>2000</v>
      </c>
      <c r="M18" s="1" t="s">
        <v>36</v>
      </c>
      <c r="N18" s="1"/>
    </row>
    <row r="19" spans="2:14">
      <c r="B19" s="39" t="s">
        <v>37</v>
      </c>
      <c r="C19" s="40">
        <v>46324</v>
      </c>
      <c r="D19" s="40" t="str">
        <f t="shared" si="1"/>
        <v>Thu</v>
      </c>
      <c r="E19" s="39" t="s">
        <v>23</v>
      </c>
      <c r="F19" s="39" t="s">
        <v>4</v>
      </c>
      <c r="G19" s="39" t="s">
        <v>38</v>
      </c>
      <c r="H19" s="21">
        <v>6000</v>
      </c>
      <c r="I19" s="21"/>
      <c r="J19" s="22"/>
      <c r="K19" s="25">
        <f t="shared" si="0"/>
        <v>0</v>
      </c>
      <c r="L19" s="28">
        <f>H19-K19</f>
        <v>6000</v>
      </c>
      <c r="M19" s="1" t="s">
        <v>39</v>
      </c>
      <c r="N19" s="1"/>
    </row>
    <row r="20" spans="2:14">
      <c r="B20" s="39" t="s">
        <v>40</v>
      </c>
      <c r="C20" s="40">
        <v>46326</v>
      </c>
      <c r="D20" s="40" t="str">
        <f t="shared" si="1"/>
        <v>Sat</v>
      </c>
      <c r="E20" s="39" t="s">
        <v>23</v>
      </c>
      <c r="F20" s="39" t="s">
        <v>6</v>
      </c>
      <c r="G20" s="39" t="s">
        <v>28</v>
      </c>
      <c r="H20" s="21">
        <v>2000</v>
      </c>
      <c r="I20" s="21">
        <v>50</v>
      </c>
      <c r="J20" s="22">
        <v>120</v>
      </c>
      <c r="K20" s="25">
        <f>IF(AND(I20&gt;0,J20&gt;0),I20*J20,0)</f>
        <v>6000</v>
      </c>
      <c r="L20" s="28">
        <f>(H20-K20)/2</f>
        <v>-2000</v>
      </c>
      <c r="M20" s="1" t="s">
        <v>41</v>
      </c>
      <c r="N20" s="1" t="s">
        <v>42</v>
      </c>
    </row>
    <row r="21" spans="2:14">
      <c r="B21" s="39" t="s">
        <v>43</v>
      </c>
      <c r="C21" s="40">
        <v>46331</v>
      </c>
      <c r="D21" s="40" t="str">
        <f t="shared" si="1"/>
        <v>Thu</v>
      </c>
      <c r="E21" s="39" t="s">
        <v>23</v>
      </c>
      <c r="F21" s="39" t="s">
        <v>6</v>
      </c>
      <c r="G21" s="39" t="s">
        <v>44</v>
      </c>
      <c r="H21" s="21">
        <v>1000</v>
      </c>
      <c r="I21" s="21"/>
      <c r="J21" s="22"/>
      <c r="K21" s="25">
        <f>IF(AND(I21&gt;0,J21&gt;0),I21*J21,0)</f>
        <v>0</v>
      </c>
      <c r="L21" s="28">
        <f>H21-K21</f>
        <v>1000</v>
      </c>
      <c r="M21" s="1" t="s">
        <v>45</v>
      </c>
      <c r="N21" s="1"/>
    </row>
    <row r="22" spans="2:14">
      <c r="B22" s="39" t="s">
        <v>46</v>
      </c>
      <c r="C22" s="40">
        <v>46347</v>
      </c>
      <c r="D22" s="40" t="str">
        <f t="shared" si="1"/>
        <v>Sat</v>
      </c>
      <c r="E22" s="39" t="s">
        <v>23</v>
      </c>
      <c r="F22" s="39" t="s">
        <v>4</v>
      </c>
      <c r="G22" s="39" t="s">
        <v>47</v>
      </c>
      <c r="H22" s="21">
        <v>10000</v>
      </c>
      <c r="I22" s="21">
        <v>60</v>
      </c>
      <c r="J22" s="22">
        <v>300</v>
      </c>
      <c r="K22" s="25">
        <f t="shared" si="0"/>
        <v>18000</v>
      </c>
      <c r="L22" s="28">
        <f>H22-K22</f>
        <v>-8000</v>
      </c>
      <c r="M22" s="1" t="s">
        <v>48</v>
      </c>
      <c r="N22" s="1"/>
    </row>
    <row r="23" spans="2:14">
      <c r="B23" s="39" t="s">
        <v>49</v>
      </c>
      <c r="C23" s="40"/>
      <c r="D23" s="40" t="str">
        <f t="shared" si="1"/>
        <v/>
      </c>
      <c r="E23" s="39" t="s">
        <v>23</v>
      </c>
      <c r="F23" s="39" t="s">
        <v>8</v>
      </c>
      <c r="G23" s="39" t="s">
        <v>50</v>
      </c>
      <c r="H23" s="21">
        <v>1000</v>
      </c>
      <c r="I23" s="21"/>
      <c r="J23" s="22"/>
      <c r="K23" s="25">
        <f t="shared" si="0"/>
        <v>0</v>
      </c>
      <c r="L23" s="28">
        <f>H23-K23</f>
        <v>1000</v>
      </c>
      <c r="M23" s="1" t="s">
        <v>51</v>
      </c>
      <c r="N23" s="1"/>
    </row>
    <row r="24" spans="2:14">
      <c r="B24" s="39" t="s">
        <v>52</v>
      </c>
      <c r="C24" s="40">
        <v>46436</v>
      </c>
      <c r="D24" s="40" t="str">
        <f t="shared" si="1"/>
        <v>Thu</v>
      </c>
      <c r="E24" s="39" t="s">
        <v>53</v>
      </c>
      <c r="F24" s="39" t="s">
        <v>5</v>
      </c>
      <c r="G24" s="39" t="s">
        <v>28</v>
      </c>
      <c r="H24" s="21">
        <v>3000</v>
      </c>
      <c r="I24" s="21">
        <v>40</v>
      </c>
      <c r="J24" s="22">
        <v>250</v>
      </c>
      <c r="K24" s="25">
        <f t="shared" si="0"/>
        <v>10000</v>
      </c>
      <c r="L24" s="28">
        <f>H24-K24</f>
        <v>-7000</v>
      </c>
      <c r="M24" s="1"/>
      <c r="N24" s="1"/>
    </row>
    <row r="25" spans="2:14">
      <c r="B25" s="39" t="s">
        <v>54</v>
      </c>
      <c r="C25" s="40">
        <v>46445</v>
      </c>
      <c r="D25" s="40" t="str">
        <f t="shared" si="1"/>
        <v>Sat</v>
      </c>
      <c r="E25" s="39" t="s">
        <v>53</v>
      </c>
      <c r="F25" s="39" t="s">
        <v>5</v>
      </c>
      <c r="G25" s="39" t="s">
        <v>28</v>
      </c>
      <c r="H25" s="21">
        <v>3000</v>
      </c>
      <c r="I25" s="21">
        <v>40</v>
      </c>
      <c r="J25" s="22">
        <v>150</v>
      </c>
      <c r="K25" s="25">
        <f t="shared" si="0"/>
        <v>6000</v>
      </c>
      <c r="L25" s="28">
        <f>H25-K25</f>
        <v>-3000</v>
      </c>
      <c r="M25" s="1"/>
      <c r="N25" s="1"/>
    </row>
    <row r="26" spans="2:14">
      <c r="B26" s="39" t="s">
        <v>34</v>
      </c>
      <c r="C26" s="40">
        <v>46457</v>
      </c>
      <c r="D26" s="40" t="str">
        <f t="shared" si="1"/>
        <v>Thu</v>
      </c>
      <c r="E26" s="39" t="s">
        <v>53</v>
      </c>
      <c r="F26" s="39" t="s">
        <v>4</v>
      </c>
      <c r="G26" s="39" t="s">
        <v>28</v>
      </c>
      <c r="H26" s="21">
        <v>2000</v>
      </c>
      <c r="I26" s="21"/>
      <c r="J26" s="22"/>
      <c r="K26" s="25">
        <f t="shared" si="0"/>
        <v>0</v>
      </c>
      <c r="L26" s="28">
        <f>H26-K26</f>
        <v>2000</v>
      </c>
      <c r="M26" s="1" t="s">
        <v>55</v>
      </c>
      <c r="N26" s="1"/>
    </row>
    <row r="27" spans="2:14">
      <c r="B27" s="39" t="s">
        <v>56</v>
      </c>
      <c r="C27" s="40">
        <v>46487</v>
      </c>
      <c r="D27" s="40" t="str">
        <f t="shared" si="1"/>
        <v>Sat</v>
      </c>
      <c r="E27" s="39" t="s">
        <v>53</v>
      </c>
      <c r="F27" s="39" t="s">
        <v>7</v>
      </c>
      <c r="G27" s="39" t="s">
        <v>28</v>
      </c>
      <c r="H27" s="21">
        <v>2000</v>
      </c>
      <c r="I27" s="21"/>
      <c r="J27" s="22"/>
      <c r="K27" s="25">
        <f t="shared" si="0"/>
        <v>0</v>
      </c>
      <c r="L27" s="28">
        <f>H27-K27</f>
        <v>2000</v>
      </c>
      <c r="M27" s="1" t="s">
        <v>57</v>
      </c>
      <c r="N27" s="1"/>
    </row>
    <row r="28" spans="2:14">
      <c r="B28" s="39" t="s">
        <v>58</v>
      </c>
      <c r="C28" s="40"/>
      <c r="D28" s="40" t="str">
        <f t="shared" si="1"/>
        <v/>
      </c>
      <c r="E28" s="39" t="s">
        <v>53</v>
      </c>
      <c r="F28" s="39" t="s">
        <v>8</v>
      </c>
      <c r="G28" s="39" t="s">
        <v>50</v>
      </c>
      <c r="H28" s="21">
        <v>1000</v>
      </c>
      <c r="I28" s="21"/>
      <c r="J28" s="22"/>
      <c r="K28" s="25">
        <f>IF(AND(I28&gt;0,J28&gt;0),I28*J28,0)</f>
        <v>0</v>
      </c>
      <c r="L28" s="28">
        <f>H28-K28</f>
        <v>1000</v>
      </c>
      <c r="M28" s="1" t="s">
        <v>59</v>
      </c>
      <c r="N28" s="1"/>
    </row>
    <row r="29" spans="2:14">
      <c r="B29" s="39" t="s">
        <v>60</v>
      </c>
      <c r="C29" s="40">
        <v>46513</v>
      </c>
      <c r="D29" s="40" t="str">
        <f t="shared" si="1"/>
        <v>Thu</v>
      </c>
      <c r="E29" s="39" t="s">
        <v>53</v>
      </c>
      <c r="F29" s="39" t="s">
        <v>4</v>
      </c>
      <c r="G29" s="39" t="s">
        <v>28</v>
      </c>
      <c r="H29" s="21">
        <v>5000</v>
      </c>
      <c r="I29" s="21"/>
      <c r="J29" s="22"/>
      <c r="K29" s="25">
        <f t="shared" si="0"/>
        <v>0</v>
      </c>
      <c r="L29" s="28">
        <f>H29-K29</f>
        <v>5000</v>
      </c>
      <c r="M29" s="1"/>
      <c r="N29" s="1"/>
    </row>
    <row r="30" spans="2:14">
      <c r="B30" s="39" t="s">
        <v>61</v>
      </c>
      <c r="C30" s="40">
        <v>46514</v>
      </c>
      <c r="D30" s="40" t="str">
        <f t="shared" si="1"/>
        <v>Fri</v>
      </c>
      <c r="E30" s="39" t="s">
        <v>53</v>
      </c>
      <c r="F30" s="39" t="s">
        <v>4</v>
      </c>
      <c r="G30" s="39" t="s">
        <v>28</v>
      </c>
      <c r="H30" s="21">
        <v>12000</v>
      </c>
      <c r="I30" s="21">
        <v>200</v>
      </c>
      <c r="J30" s="22">
        <v>60</v>
      </c>
      <c r="K30" s="25">
        <f t="shared" ref="K30" si="2">IF(AND(I30&gt;0,J30&gt;0),I30*J30,0)</f>
        <v>12000</v>
      </c>
      <c r="L30" s="28">
        <f>H30-K30</f>
        <v>0</v>
      </c>
      <c r="M30" s="1"/>
      <c r="N30" s="1"/>
    </row>
    <row r="31" spans="2:14">
      <c r="B31" s="41" t="s">
        <v>62</v>
      </c>
      <c r="C31" s="42"/>
      <c r="D31" s="40" t="str">
        <f t="shared" si="1"/>
        <v/>
      </c>
      <c r="E31" s="41" t="s">
        <v>63</v>
      </c>
      <c r="F31" s="41" t="s">
        <v>4</v>
      </c>
      <c r="G31" s="41"/>
      <c r="H31" s="23">
        <v>3000</v>
      </c>
      <c r="I31" s="23"/>
      <c r="J31" s="24"/>
      <c r="K31" s="26">
        <f t="shared" si="0"/>
        <v>0</v>
      </c>
      <c r="L31" s="29">
        <f>H31-K31</f>
        <v>3000</v>
      </c>
      <c r="M31" s="3" t="s">
        <v>64</v>
      </c>
      <c r="N31" s="3"/>
    </row>
    <row r="32" spans="2:14">
      <c r="B32" s="43" t="s">
        <v>9</v>
      </c>
      <c r="C32" s="44"/>
      <c r="D32" s="44"/>
      <c r="E32" s="44"/>
      <c r="F32" s="44"/>
      <c r="G32" s="44"/>
      <c r="H32" s="31">
        <f>SUM(H14:H31)</f>
        <v>65500</v>
      </c>
      <c r="I32" s="4"/>
      <c r="J32" s="4"/>
      <c r="K32" s="5">
        <f>SUM(K14:K31)</f>
        <v>62000</v>
      </c>
      <c r="L32" s="30">
        <f>SUM(L14:L31)</f>
        <v>5500</v>
      </c>
      <c r="M32" s="4"/>
      <c r="N32" s="4"/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37"/>
  <sheetViews>
    <sheetView tabSelected="1" workbookViewId="0">
      <selection activeCell="C17" sqref="C17"/>
    </sheetView>
  </sheetViews>
  <sheetFormatPr defaultRowHeight="15"/>
  <cols>
    <col min="1" max="7" width="21" customWidth="1"/>
  </cols>
  <sheetData>
    <row r="1" spans="1:7">
      <c r="A1" s="45" t="s">
        <v>65</v>
      </c>
      <c r="B1" s="46"/>
      <c r="C1" s="46"/>
      <c r="D1" s="46"/>
      <c r="E1" s="46"/>
      <c r="F1" s="46"/>
      <c r="G1" s="46"/>
    </row>
    <row r="3" spans="1:7" ht="15" customHeight="1">
      <c r="A3" s="32" t="s">
        <v>66</v>
      </c>
      <c r="B3" s="32"/>
      <c r="C3" s="32"/>
      <c r="D3" s="32"/>
      <c r="E3" s="32"/>
      <c r="F3" s="32"/>
      <c r="G3" s="32"/>
    </row>
    <row r="4" spans="1:7">
      <c r="A4" s="6" t="s">
        <v>67</v>
      </c>
      <c r="B4" s="6" t="s">
        <v>68</v>
      </c>
      <c r="C4" s="6" t="s">
        <v>69</v>
      </c>
      <c r="D4" s="6" t="s">
        <v>70</v>
      </c>
      <c r="E4" s="6" t="s">
        <v>71</v>
      </c>
      <c r="F4" s="6" t="s">
        <v>72</v>
      </c>
      <c r="G4" s="6" t="s">
        <v>73</v>
      </c>
    </row>
    <row r="5" spans="1:7">
      <c r="A5" s="7"/>
      <c r="B5" s="8"/>
      <c r="C5" s="8"/>
      <c r="D5" s="8"/>
      <c r="E5" s="8"/>
      <c r="F5" s="8"/>
      <c r="G5" s="9">
        <v>1</v>
      </c>
    </row>
    <row r="6" spans="1:7" ht="39.950000000000003" customHeight="1">
      <c r="A6" s="10"/>
      <c r="B6" s="11"/>
      <c r="C6" s="11"/>
      <c r="D6" s="11"/>
      <c r="E6" s="11"/>
      <c r="F6" s="11"/>
      <c r="G6" s="10" t="str">
        <f>IFERROR(INDEX('Master Table'!$B$14:$B$31,MATCH(46235,'Master Table'!$C$14:$C$31,0)),"")</f>
        <v/>
      </c>
    </row>
    <row r="7" spans="1:7" ht="15" customHeight="1">
      <c r="A7" s="12">
        <v>2</v>
      </c>
      <c r="B7" s="13">
        <v>3</v>
      </c>
      <c r="C7" s="13">
        <v>4</v>
      </c>
      <c r="D7" s="13">
        <v>5</v>
      </c>
      <c r="E7" s="13">
        <v>6</v>
      </c>
      <c r="F7" s="13">
        <v>7</v>
      </c>
      <c r="G7" s="12">
        <v>8</v>
      </c>
    </row>
    <row r="8" spans="1:7" ht="30" customHeight="1">
      <c r="A8" s="14" t="str">
        <f>IFERROR(INDEX('Master Table'!$B$14:$B$31,MATCH(46236,'Master Table'!$C$14:$C$31,0)),"")</f>
        <v/>
      </c>
      <c r="B8" s="15" t="str">
        <f>IFERROR(INDEX('Master Table'!$B$14:$B$31,MATCH(46237,'Master Table'!$C$14:$C$31,0)),"")</f>
        <v/>
      </c>
      <c r="C8" s="15" t="str">
        <f>IFERROR(INDEX('Master Table'!$B$14:$B$31,MATCH(46238,'Master Table'!$C$14:$C$31,0)),"")</f>
        <v/>
      </c>
      <c r="D8" s="15" t="str">
        <f>IFERROR(INDEX('Master Table'!$B$14:$B$31,MATCH(46239,'Master Table'!$C$14:$C$31,0)),"")</f>
        <v/>
      </c>
      <c r="E8" s="15" t="str">
        <f>IFERROR(INDEX('Master Table'!$B$14:$B$31,MATCH(46240,'Master Table'!$C$14:$C$31,0)),"")</f>
        <v/>
      </c>
      <c r="F8" s="15" t="str">
        <f>IFERROR(INDEX('Master Table'!$B$14:$B$31,MATCH(46241,'Master Table'!$C$14:$C$31,0)),"")</f>
        <v/>
      </c>
      <c r="G8" s="14" t="str">
        <f>IFERROR(INDEX('Master Table'!$B$14:$B$31,MATCH(46242,'Master Table'!$C$14:$C$31,0)),"")</f>
        <v/>
      </c>
    </row>
    <row r="9" spans="1:7" ht="15" customHeight="1">
      <c r="A9" s="12">
        <v>9</v>
      </c>
      <c r="B9" s="13">
        <v>10</v>
      </c>
      <c r="C9" s="13">
        <v>11</v>
      </c>
      <c r="D9" s="13">
        <v>12</v>
      </c>
      <c r="E9" s="13">
        <v>13</v>
      </c>
      <c r="F9" s="13">
        <v>14</v>
      </c>
      <c r="G9" s="12">
        <v>15</v>
      </c>
    </row>
    <row r="10" spans="1:7" ht="30" customHeight="1">
      <c r="A10" s="14" t="str">
        <f>IFERROR(INDEX('Master Table'!$B$14:$B$31,MATCH(46243,'Master Table'!$C$14:$C$31,0)),"")</f>
        <v/>
      </c>
      <c r="B10" s="15" t="str">
        <f>IFERROR(INDEX('Master Table'!$B$14:$B$31,MATCH(46244,'Master Table'!$C$14:$C$31,0)),"")</f>
        <v/>
      </c>
      <c r="C10" s="15" t="str">
        <f>IFERROR(INDEX('Master Table'!$B$14:$B$31,MATCH(46245,'Master Table'!$C$14:$C$31,0)),"")</f>
        <v/>
      </c>
      <c r="D10" s="15" t="str">
        <f>IFERROR(INDEX('Master Table'!$B$14:$B$31,MATCH(46246,'Master Table'!$C$14:$C$31,0)),"")</f>
        <v/>
      </c>
      <c r="E10" s="15" t="str">
        <f>IFERROR(INDEX('Master Table'!$B$14:$B$31,MATCH(46247,'Master Table'!$C$14:$C$31,0)),"")</f>
        <v/>
      </c>
      <c r="F10" s="15" t="str">
        <f>IFERROR(INDEX('Master Table'!$B$14:$B$31,MATCH(46248,'Master Table'!$C$14:$C$31,0)),"")</f>
        <v/>
      </c>
      <c r="G10" s="14" t="str">
        <f>IFERROR(INDEX('Master Table'!$B$14:$B$31,MATCH(46249,'Master Table'!$C$14:$C$31,0)),"")</f>
        <v/>
      </c>
    </row>
    <row r="11" spans="1:7" ht="15" customHeight="1">
      <c r="A11" s="12">
        <v>16</v>
      </c>
      <c r="B11" s="13">
        <v>17</v>
      </c>
      <c r="C11" s="13">
        <v>18</v>
      </c>
      <c r="D11" s="13">
        <v>19</v>
      </c>
      <c r="E11" s="13">
        <v>20</v>
      </c>
      <c r="F11" s="13">
        <v>21</v>
      </c>
      <c r="G11" s="12">
        <v>22</v>
      </c>
    </row>
    <row r="12" spans="1:7" ht="30" customHeight="1">
      <c r="A12" s="14" t="str">
        <f>IFERROR(INDEX('Master Table'!$B$14:$B$31,MATCH(46250,'Master Table'!$C$14:$C$31,0)),"")</f>
        <v/>
      </c>
      <c r="B12" s="15" t="str">
        <f>IFERROR(INDEX('Master Table'!$B$14:$B$31,MATCH(46251,'Master Table'!$C$14:$C$31,0)),"")</f>
        <v/>
      </c>
      <c r="C12" s="15" t="str">
        <f>IFERROR(INDEX('Master Table'!$B$14:$B$31,MATCH(46252,'Master Table'!$C$14:$C$31,0)),"")</f>
        <v/>
      </c>
      <c r="D12" s="15" t="str">
        <f>IFERROR(INDEX('Master Table'!$B$14:$B$31,MATCH(46253,'Master Table'!$C$14:$C$31,0)),"")</f>
        <v/>
      </c>
      <c r="E12" s="15" t="str">
        <f>IFERROR(INDEX('Master Table'!$B$14:$B$31,MATCH(46254,'Master Table'!$C$14:$C$31,0)),"")</f>
        <v/>
      </c>
      <c r="F12" s="15" t="str">
        <f>IFERROR(INDEX('Master Table'!$B$14:$B$31,MATCH(46255,'Master Table'!$C$14:$C$31,0)),"")</f>
        <v/>
      </c>
      <c r="G12" s="14" t="str">
        <f>IFERROR(INDEX('Master Table'!$B$14:$B$31,MATCH(46256,'Master Table'!$C$14:$C$31,0)),"")</f>
        <v/>
      </c>
    </row>
    <row r="13" spans="1:7" ht="15" customHeight="1">
      <c r="A13" s="12">
        <v>23</v>
      </c>
      <c r="B13" s="13">
        <v>24</v>
      </c>
      <c r="C13" s="13">
        <v>25</v>
      </c>
      <c r="D13" s="13">
        <v>26</v>
      </c>
      <c r="E13" s="13">
        <v>27</v>
      </c>
      <c r="F13" s="13">
        <v>28</v>
      </c>
      <c r="G13" s="12">
        <v>29</v>
      </c>
    </row>
    <row r="14" spans="1:7" ht="30" customHeight="1">
      <c r="A14" s="14" t="str">
        <f>IFERROR(INDEX('Master Table'!$B$14:$B$31,MATCH(46257,'Master Table'!$C$14:$C$31,0)),"")</f>
        <v/>
      </c>
      <c r="B14" s="15" t="str">
        <f>IFERROR(INDEX('Master Table'!$B$14:$B$31,MATCH(46258,'Master Table'!$C$14:$C$31,0)),"")</f>
        <v/>
      </c>
      <c r="C14" s="15" t="str">
        <f>IFERROR(INDEX('Master Table'!$B$14:$B$31,MATCH(46259,'Master Table'!$C$14:$C$31,0)),"")</f>
        <v/>
      </c>
      <c r="D14" s="15" t="str">
        <f>IFERROR(INDEX('Master Table'!$B$14:$B$31,MATCH(46260,'Master Table'!$C$14:$C$31,0)),"")</f>
        <v/>
      </c>
      <c r="E14" s="15" t="str">
        <f>IFERROR(INDEX('Master Table'!$B$14:$B$31,MATCH(46261,'Master Table'!$C$14:$C$31,0)),"")</f>
        <v/>
      </c>
      <c r="F14" s="15" t="str">
        <f>IFERROR(INDEX('Master Table'!$B$14:$B$31,MATCH(46262,'Master Table'!$C$14:$C$31,0)),"")</f>
        <v/>
      </c>
      <c r="G14" s="14" t="str">
        <f>IFERROR(INDEX('Master Table'!$B$14:$B$31,MATCH(46263,'Master Table'!$C$14:$C$31,0)),"")</f>
        <v/>
      </c>
    </row>
    <row r="15" spans="1:7" ht="15" customHeight="1">
      <c r="A15" s="12">
        <v>30</v>
      </c>
      <c r="B15" s="13">
        <v>31</v>
      </c>
      <c r="C15" s="16"/>
      <c r="D15" s="16"/>
      <c r="E15" s="16"/>
      <c r="F15" s="16"/>
      <c r="G15" s="17"/>
    </row>
    <row r="16" spans="1:7" ht="30" customHeight="1">
      <c r="A16" s="14" t="str">
        <f>IFERROR(INDEX('Master Table'!$B$14:$B$31,MATCH(46264,'Master Table'!$C$14:$C$31,0)),"")</f>
        <v/>
      </c>
      <c r="B16" s="15" t="str">
        <f>IFERROR(INDEX('Master Table'!$B$14:$B$31,MATCH(46265,'Master Table'!$C$14:$C$31,0)),"")</f>
        <v/>
      </c>
      <c r="C16" s="15"/>
      <c r="D16" s="15"/>
      <c r="E16" s="15"/>
      <c r="F16" s="15"/>
      <c r="G16" s="14"/>
    </row>
    <row r="18" spans="1:7" ht="15" customHeight="1">
      <c r="A18" s="32" t="s">
        <v>74</v>
      </c>
      <c r="B18" s="32"/>
      <c r="C18" s="32"/>
      <c r="D18" s="32"/>
      <c r="E18" s="32"/>
      <c r="F18" s="32"/>
      <c r="G18" s="32"/>
    </row>
    <row r="19" spans="1:7">
      <c r="A19" s="6" t="s">
        <v>67</v>
      </c>
      <c r="B19" s="6" t="s">
        <v>68</v>
      </c>
      <c r="C19" s="6" t="s">
        <v>69</v>
      </c>
      <c r="D19" s="6" t="s">
        <v>70</v>
      </c>
      <c r="E19" s="6" t="s">
        <v>71</v>
      </c>
      <c r="F19" s="6" t="s">
        <v>72</v>
      </c>
      <c r="G19" s="6" t="s">
        <v>73</v>
      </c>
    </row>
    <row r="20" spans="1:7" ht="15" customHeight="1">
      <c r="A20" s="17"/>
      <c r="B20" s="16"/>
      <c r="C20" s="13">
        <v>1</v>
      </c>
      <c r="D20" s="13">
        <v>2</v>
      </c>
      <c r="E20" s="13">
        <v>3</v>
      </c>
      <c r="F20" s="13">
        <v>4</v>
      </c>
      <c r="G20" s="12">
        <v>5</v>
      </c>
    </row>
    <row r="21" spans="1:7" ht="30" customHeight="1">
      <c r="A21" s="14"/>
      <c r="B21" s="15"/>
      <c r="C21" s="19" t="s">
        <v>75</v>
      </c>
      <c r="D21" s="15" t="str">
        <f>IFERROR(INDEX('Master Table'!$B$14:$B$31,MATCH(46267,'Master Table'!$C$14:$C$31,0)),"")</f>
        <v/>
      </c>
      <c r="E21" s="15" t="str">
        <f>IFERROR(INDEX('Master Table'!$B$14:$B$31,MATCH(46268,'Master Table'!$C$14:$C$31,0)),"")</f>
        <v/>
      </c>
      <c r="F21" s="15" t="str">
        <f>IFERROR(INDEX('Master Table'!$B$14:$B$31,MATCH(46269,'Master Table'!$C$14:$C$31,0)),"")</f>
        <v/>
      </c>
      <c r="G21" s="14" t="str">
        <f>IFERROR(INDEX('Master Table'!$B$14:$B$31,MATCH(46270,'Master Table'!$C$14:$C$31,0)),"")</f>
        <v/>
      </c>
    </row>
    <row r="22" spans="1:7" ht="15" customHeight="1">
      <c r="A22" s="12">
        <v>6</v>
      </c>
      <c r="B22" s="13">
        <v>7</v>
      </c>
      <c r="C22" s="13">
        <v>8</v>
      </c>
      <c r="D22" s="13">
        <v>9</v>
      </c>
      <c r="E22" s="13">
        <v>10</v>
      </c>
      <c r="F22" s="13">
        <v>11</v>
      </c>
      <c r="G22" s="12">
        <v>12</v>
      </c>
    </row>
    <row r="23" spans="1:7" ht="30" customHeight="1">
      <c r="A23" s="14" t="str">
        <f>IFERROR(INDEX('Master Table'!$B$14:$B$31,MATCH(46271,'Master Table'!$C$14:$C$31,0)),"")</f>
        <v/>
      </c>
      <c r="B23" s="19" t="s">
        <v>76</v>
      </c>
      <c r="C23" s="19" t="s">
        <v>77</v>
      </c>
      <c r="D23" s="15" t="str">
        <f>IFERROR(INDEX('Master Table'!$B$14:$B$31,MATCH(46274,'Master Table'!$C$14:$C$31,0)),"")</f>
        <v>AASU Welcome Event</v>
      </c>
      <c r="E23" s="15" t="str">
        <f>IFERROR(INDEX('Master Table'!$B$14:$B$31,MATCH(46275,'Master Table'!$C$14:$C$31,0)),"")</f>
        <v>Fall Party (Denim After Dark)</v>
      </c>
      <c r="F23" s="15" t="str">
        <f>IFERROR(INDEX('Master Table'!$B$14:$B$31,MATCH(46276,'Master Table'!$C$14:$C$31,0)),"")</f>
        <v/>
      </c>
      <c r="G23" s="14" t="str">
        <f>IFERROR(INDEX('Master Table'!$B$14:$B$31,MATCH(46277,'Master Table'!$C$14:$C$31,0)),"")</f>
        <v/>
      </c>
    </row>
    <row r="24" spans="1:7" ht="15" customHeight="1">
      <c r="A24" s="12">
        <v>13</v>
      </c>
      <c r="B24" s="13">
        <v>14</v>
      </c>
      <c r="C24" s="13">
        <v>15</v>
      </c>
      <c r="D24" s="13">
        <v>16</v>
      </c>
      <c r="E24" s="13">
        <v>17</v>
      </c>
      <c r="F24" s="13">
        <v>18</v>
      </c>
      <c r="G24" s="12">
        <v>19</v>
      </c>
    </row>
    <row r="25" spans="1:7" ht="30" customHeight="1">
      <c r="A25" s="14" t="str">
        <f>IFERROR(INDEX('Master Table'!$B$14:$B$31,MATCH(46278,'Master Table'!$C$14:$C$31,0)),"")</f>
        <v/>
      </c>
      <c r="B25" s="15" t="str">
        <f>IFERROR(INDEX('Master Table'!$B$14:$B$31,MATCH(46279,'Master Table'!$C$14:$C$31,0)),"")</f>
        <v/>
      </c>
      <c r="C25" s="15" t="str">
        <f>IFERROR(INDEX('Master Table'!$B$14:$B$31,MATCH(46280,'Master Table'!$C$14:$C$31,0)),"")</f>
        <v/>
      </c>
      <c r="D25" s="15" t="str">
        <f>IFERROR(INDEX('Master Table'!$B$14:$B$31,MATCH(46281,'Master Table'!$C$14:$C$31,0)),"")</f>
        <v/>
      </c>
      <c r="E25" s="15" t="str">
        <f>IFERROR(INDEX('Master Table'!$B$14:$B$31,MATCH(46282,'Master Table'!$C$14:$C$31,0)),"")</f>
        <v/>
      </c>
      <c r="F25" s="15" t="str">
        <f>IFERROR(INDEX('Master Table'!$B$14:$B$31,MATCH(46283,'Master Table'!$C$14:$C$31,0)),"")</f>
        <v/>
      </c>
      <c r="G25" s="14" t="str">
        <f>IFERROR(INDEX('Master Table'!$B$14:$B$31,MATCH(46284,'Master Table'!$C$14:$C$31,0)),"")</f>
        <v/>
      </c>
    </row>
    <row r="26" spans="1:7" ht="15" customHeight="1">
      <c r="A26" s="12">
        <v>20</v>
      </c>
      <c r="B26" s="13">
        <v>21</v>
      </c>
      <c r="C26" s="13">
        <v>22</v>
      </c>
      <c r="D26" s="13">
        <v>23</v>
      </c>
      <c r="E26" s="13">
        <v>24</v>
      </c>
      <c r="F26" s="13">
        <v>25</v>
      </c>
      <c r="G26" s="12">
        <v>26</v>
      </c>
    </row>
    <row r="27" spans="1:7" ht="30" customHeight="1">
      <c r="A27" s="14" t="str">
        <f>IFERROR(INDEX('Master Table'!$B$14:$B$31,MATCH(46285,'Master Table'!$C$14:$C$31,0)),"")</f>
        <v/>
      </c>
      <c r="B27" s="15" t="str">
        <f>IFERROR(INDEX('Master Table'!$B$14:$B$31,MATCH(46286,'Master Table'!$C$14:$C$31,0)),"")</f>
        <v/>
      </c>
      <c r="C27" s="15" t="str">
        <f>IFERROR(INDEX('Master Table'!$B$14:$B$31,MATCH(46287,'Master Table'!$C$14:$C$31,0)),"")</f>
        <v/>
      </c>
      <c r="D27" s="15" t="str">
        <f>IFERROR(INDEX('Master Table'!$B$14:$B$31,MATCH(46288,'Master Table'!$C$14:$C$31,0)),"")</f>
        <v/>
      </c>
      <c r="E27" s="15" t="str">
        <f>IFERROR(INDEX('Master Table'!$B$14:$B$31,MATCH(46289,'Master Table'!$C$14:$C$31,0)),"")</f>
        <v/>
      </c>
      <c r="F27" s="15" t="str">
        <f>IFERROR(INDEX('Master Table'!$B$14:$B$31,MATCH(46290,'Master Table'!$C$14:$C$31,0)),"")</f>
        <v>River Picnic</v>
      </c>
      <c r="G27" s="14" t="str">
        <f>IFERROR(INDEX('Master Table'!$B$14:$B$31,MATCH(46291,'Master Table'!$C$14:$C$31,0)),"")</f>
        <v/>
      </c>
    </row>
    <row r="28" spans="1:7" ht="15" customHeight="1">
      <c r="A28" s="12">
        <v>27</v>
      </c>
      <c r="B28" s="13">
        <v>28</v>
      </c>
      <c r="C28" s="13">
        <v>29</v>
      </c>
      <c r="D28" s="13">
        <v>30</v>
      </c>
      <c r="E28" s="16"/>
      <c r="F28" s="16"/>
      <c r="G28" s="17"/>
    </row>
    <row r="29" spans="1:7" ht="30" customHeight="1">
      <c r="A29" s="14" t="str">
        <f>IFERROR(INDEX('Master Table'!$B$14:$B$31,MATCH(46292,'Master Table'!$C$14:$C$31,0)),"")</f>
        <v/>
      </c>
      <c r="B29" s="15" t="str">
        <f>IFERROR(INDEX('Master Table'!$B$14:$B$31,MATCH(46293,'Master Table'!$C$14:$C$31,0)),"")</f>
        <v/>
      </c>
      <c r="C29" s="15" t="str">
        <f>IFERROR(INDEX('Master Table'!$B$14:$B$31,MATCH(46294,'Master Table'!$C$14:$C$31,0)),"")</f>
        <v/>
      </c>
      <c r="D29" s="15" t="str">
        <f>IFERROR(INDEX('Master Table'!$B$14:$B$31,MATCH(46295,'Master Table'!$C$14:$C$31,0)),"")</f>
        <v/>
      </c>
      <c r="E29" s="15"/>
      <c r="F29" s="15"/>
      <c r="G29" s="14"/>
    </row>
    <row r="31" spans="1:7" ht="15" customHeight="1">
      <c r="A31" s="32" t="s">
        <v>78</v>
      </c>
      <c r="B31" s="32"/>
      <c r="C31" s="32"/>
      <c r="D31" s="32"/>
      <c r="E31" s="32"/>
      <c r="F31" s="32"/>
      <c r="G31" s="32"/>
    </row>
    <row r="32" spans="1:7">
      <c r="A32" s="6" t="s">
        <v>67</v>
      </c>
      <c r="B32" s="6" t="s">
        <v>68</v>
      </c>
      <c r="C32" s="6" t="s">
        <v>69</v>
      </c>
      <c r="D32" s="6" t="s">
        <v>70</v>
      </c>
      <c r="E32" s="6" t="s">
        <v>71</v>
      </c>
      <c r="F32" s="6" t="s">
        <v>72</v>
      </c>
      <c r="G32" s="6" t="s">
        <v>73</v>
      </c>
    </row>
    <row r="33" spans="1:7" ht="15" customHeight="1">
      <c r="A33" s="17"/>
      <c r="B33" s="16"/>
      <c r="C33" s="16"/>
      <c r="D33" s="16"/>
      <c r="E33" s="13">
        <v>1</v>
      </c>
      <c r="F33" s="13">
        <v>2</v>
      </c>
      <c r="G33" s="12">
        <v>3</v>
      </c>
    </row>
    <row r="34" spans="1:7" ht="30" customHeight="1">
      <c r="A34" s="14"/>
      <c r="B34" s="15"/>
      <c r="C34" s="15"/>
      <c r="D34" s="15"/>
      <c r="E34" s="15" t="str">
        <f>IFERROR(INDEX('Master Table'!$B$14:$B$31,MATCH(46296,'Master Table'!$C$14:$C$31,0)),"")</f>
        <v/>
      </c>
      <c r="F34" s="15" t="str">
        <f>IFERROR(INDEX('Master Table'!$B$14:$B$31,MATCH(46297,'Master Table'!$C$14:$C$31,0)),"")</f>
        <v/>
      </c>
      <c r="G34" s="14" t="str">
        <f>IFERROR(INDEX('Master Table'!$B$14:$B$31,MATCH(46298,'Master Table'!$C$14:$C$31,0)),"")</f>
        <v>Active Outing (Fall)</v>
      </c>
    </row>
    <row r="35" spans="1:7" ht="15" customHeight="1">
      <c r="A35" s="12">
        <v>4</v>
      </c>
      <c r="B35" s="13">
        <v>5</v>
      </c>
      <c r="C35" s="13">
        <v>6</v>
      </c>
      <c r="D35" s="13">
        <v>7</v>
      </c>
      <c r="E35" s="13">
        <v>8</v>
      </c>
      <c r="F35" s="13">
        <v>9</v>
      </c>
      <c r="G35" s="12">
        <v>10</v>
      </c>
    </row>
    <row r="36" spans="1:7" ht="30" customHeight="1">
      <c r="A36" s="14" t="str">
        <f>IFERROR(INDEX('Master Table'!$B$14:$B$31,MATCH(46299,'Master Table'!$C$14:$C$31,0)),"")</f>
        <v/>
      </c>
      <c r="B36" s="15" t="str">
        <f>IFERROR(INDEX('Master Table'!$B$14:$B$31,MATCH(46300,'Master Table'!$C$14:$C$31,0)),"")</f>
        <v/>
      </c>
      <c r="C36" s="15" t="str">
        <f>IFERROR(INDEX('Master Table'!$B$14:$B$31,MATCH(46301,'Master Table'!$C$14:$C$31,0)),"")</f>
        <v/>
      </c>
      <c r="D36" s="15" t="str">
        <f>IFERROR(INDEX('Master Table'!$B$14:$B$31,MATCH(46302,'Master Table'!$C$14:$C$31,0)),"")</f>
        <v/>
      </c>
      <c r="E36" s="15" t="str">
        <f>IFERROR(INDEX('Master Table'!$B$14:$B$31,MATCH(46303,'Master Table'!$C$14:$C$31,0)),"")</f>
        <v/>
      </c>
      <c r="F36" s="15" t="str">
        <f>IFERROR(INDEX('Master Table'!$B$14:$B$31,MATCH(46304,'Master Table'!$C$14:$C$31,0)),"")</f>
        <v/>
      </c>
      <c r="G36" s="14" t="str">
        <f>IFERROR(INDEX('Master Table'!$B$14:$B$31,MATCH(46305,'Master Table'!$C$14:$C$31,0)),"")</f>
        <v/>
      </c>
    </row>
    <row r="37" spans="1:7" ht="15" customHeight="1">
      <c r="A37" s="12">
        <v>11</v>
      </c>
      <c r="B37" s="13">
        <v>12</v>
      </c>
      <c r="C37" s="13">
        <v>13</v>
      </c>
      <c r="D37" s="13">
        <v>14</v>
      </c>
      <c r="E37" s="13">
        <v>15</v>
      </c>
      <c r="F37" s="13">
        <v>16</v>
      </c>
      <c r="G37" s="12">
        <v>17</v>
      </c>
    </row>
    <row r="38" spans="1:7" ht="30" customHeight="1">
      <c r="A38" s="14" t="str">
        <f>IFERROR(INDEX('Master Table'!$B$14:$B$31,MATCH(46306,'Master Table'!$C$14:$C$31,0)),"")</f>
        <v/>
      </c>
      <c r="B38" s="19" t="s">
        <v>79</v>
      </c>
      <c r="C38" s="15" t="str">
        <f>IFERROR(INDEX('Master Table'!$B$14:$B$31,MATCH(46308,'Master Table'!$C$14:$C$31,0)),"")</f>
        <v/>
      </c>
      <c r="D38" s="15" t="str">
        <f>IFERROR(INDEX('Master Table'!$B$14:$B$31,MATCH(46309,'Master Table'!$C$14:$C$31,0)),"")</f>
        <v/>
      </c>
      <c r="E38" s="15" t="str">
        <f>IFERROR(INDEX('Master Table'!$B$14:$B$31,MATCH(46310,'Master Table'!$C$14:$C$31,0)),"")</f>
        <v>AASU Happy Hour</v>
      </c>
      <c r="F38" s="15" t="str">
        <f>IFERROR(INDEX('Master Table'!$B$14:$B$31,MATCH(46311,'Master Table'!$C$14:$C$31,0)),"")</f>
        <v/>
      </c>
      <c r="G38" s="14" t="str">
        <f>IFERROR(INDEX('Master Table'!$B$14:$B$31,MATCH(46312,'Master Table'!$C$14:$C$31,0)),"")</f>
        <v/>
      </c>
    </row>
    <row r="39" spans="1:7" ht="15" customHeight="1">
      <c r="A39" s="12">
        <v>18</v>
      </c>
      <c r="B39" s="13">
        <v>19</v>
      </c>
      <c r="C39" s="13">
        <v>20</v>
      </c>
      <c r="D39" s="13">
        <v>21</v>
      </c>
      <c r="E39" s="13">
        <v>22</v>
      </c>
      <c r="F39" s="13">
        <v>23</v>
      </c>
      <c r="G39" s="12">
        <v>24</v>
      </c>
    </row>
    <row r="40" spans="1:7" ht="30" customHeight="1">
      <c r="A40" s="14" t="str">
        <f>IFERROR(INDEX('Master Table'!$B$14:$B$31,MATCH(46313,'Master Table'!$C$14:$C$31,0)),"")</f>
        <v/>
      </c>
      <c r="B40" s="15" t="str">
        <f>IFERROR(INDEX('Master Table'!$B$14:$B$31,MATCH(46314,'Master Table'!$C$14:$C$31,0)),"")</f>
        <v/>
      </c>
      <c r="C40" s="15" t="str">
        <f>IFERROR(INDEX('Master Table'!$B$14:$B$31,MATCH(46315,'Master Table'!$C$14:$C$31,0)),"")</f>
        <v/>
      </c>
      <c r="D40" s="15" t="str">
        <f>IFERROR(INDEX('Master Table'!$B$14:$B$31,MATCH(46316,'Master Table'!$C$14:$C$31,0)),"")</f>
        <v/>
      </c>
      <c r="E40" s="15" t="str">
        <f>IFERROR(INDEX('Master Table'!$B$14:$B$31,MATCH(46317,'Master Table'!$C$14:$C$31,0)),"")</f>
        <v/>
      </c>
      <c r="F40" s="15" t="str">
        <f>IFERROR(INDEX('Master Table'!$B$14:$B$31,MATCH(46318,'Master Table'!$C$14:$C$31,0)),"")</f>
        <v/>
      </c>
      <c r="G40" s="14" t="str">
        <f>IFERROR(INDEX('Master Table'!$B$14:$B$31,MATCH(46319,'Master Table'!$C$14:$C$31,0)),"")</f>
        <v/>
      </c>
    </row>
    <row r="41" spans="1:7" ht="15" customHeight="1">
      <c r="A41" s="12">
        <v>25</v>
      </c>
      <c r="B41" s="13">
        <v>26</v>
      </c>
      <c r="C41" s="13">
        <v>27</v>
      </c>
      <c r="D41" s="13">
        <v>28</v>
      </c>
      <c r="E41" s="13">
        <v>29</v>
      </c>
      <c r="F41" s="13">
        <v>30</v>
      </c>
      <c r="G41" s="12">
        <v>31</v>
      </c>
    </row>
    <row r="42" spans="1:7" ht="30" customHeight="1">
      <c r="A42" s="14" t="str">
        <f>IFERROR(INDEX('Master Table'!$B$14:$B$31,MATCH(46320,'Master Table'!$C$14:$C$31,0)),"")</f>
        <v/>
      </c>
      <c r="B42" s="15" t="str">
        <f>IFERROR(INDEX('Master Table'!$B$14:$B$31,MATCH(46321,'Master Table'!$C$14:$C$31,0)),"")</f>
        <v/>
      </c>
      <c r="C42" s="15" t="str">
        <f>IFERROR(INDEX('Master Table'!$B$14:$B$31,MATCH(46322,'Master Table'!$C$14:$C$31,0)),"")</f>
        <v/>
      </c>
      <c r="D42" s="15" t="str">
        <f>IFERROR(INDEX('Master Table'!$B$14:$B$31,MATCH(46323,'Master Table'!$C$14:$C$31,0)),"")</f>
        <v/>
      </c>
      <c r="E42" s="15" t="str">
        <f>IFERROR(INDEX('Master Table'!$B$14:$B$31,MATCH(46324,'Master Table'!$C$14:$C$31,0)),"")</f>
        <v>Black Men's &amp; Women's Dinners</v>
      </c>
      <c r="F42" s="15" t="str">
        <f>IFERROR(INDEX('Master Table'!$B$14:$B$31,MATCH(46325,'Master Table'!$C$14:$C$31,0)),"")</f>
        <v/>
      </c>
      <c r="G42" s="14" t="str">
        <f>IFERROR(INDEX('Master Table'!$B$14:$B$31,MATCH(46326,'Master Table'!$C$14:$C$31,0)),"")</f>
        <v>Saints &amp; Sinners</v>
      </c>
    </row>
    <row r="44" spans="1:7" ht="15" customHeight="1">
      <c r="A44" s="32" t="s">
        <v>80</v>
      </c>
      <c r="B44" s="32"/>
      <c r="C44" s="32"/>
      <c r="D44" s="32"/>
      <c r="E44" s="32"/>
      <c r="F44" s="32"/>
      <c r="G44" s="32"/>
    </row>
    <row r="45" spans="1:7">
      <c r="A45" s="6" t="s">
        <v>67</v>
      </c>
      <c r="B45" s="6" t="s">
        <v>68</v>
      </c>
      <c r="C45" s="6" t="s">
        <v>69</v>
      </c>
      <c r="D45" s="6" t="s">
        <v>70</v>
      </c>
      <c r="E45" s="6" t="s">
        <v>71</v>
      </c>
      <c r="F45" s="6" t="s">
        <v>72</v>
      </c>
      <c r="G45" s="6" t="s">
        <v>73</v>
      </c>
    </row>
    <row r="46" spans="1:7" ht="15" customHeight="1">
      <c r="A46" s="12">
        <v>1</v>
      </c>
      <c r="B46" s="13">
        <v>2</v>
      </c>
      <c r="C46" s="13">
        <v>3</v>
      </c>
      <c r="D46" s="13">
        <v>4</v>
      </c>
      <c r="E46" s="13">
        <v>5</v>
      </c>
      <c r="F46" s="13">
        <v>6</v>
      </c>
      <c r="G46" s="12">
        <v>7</v>
      </c>
    </row>
    <row r="47" spans="1:7" ht="30" customHeight="1">
      <c r="A47" s="14" t="str">
        <f>IFERROR(INDEX('Master Table'!$B$14:$B$31,MATCH(46327,'Master Table'!$C$14:$C$31,0)),"")</f>
        <v/>
      </c>
      <c r="B47" s="15" t="str">
        <f>IFERROR(INDEX('Master Table'!$B$14:$B$31,MATCH(46328,'Master Table'!$C$14:$C$31,0)),"")</f>
        <v/>
      </c>
      <c r="C47" s="15" t="str">
        <f>IFERROR(INDEX('Master Table'!$B$14:$B$31,MATCH(46329,'Master Table'!$C$14:$C$31,0)),"")</f>
        <v/>
      </c>
      <c r="D47" s="15" t="str">
        <f>IFERROR(INDEX('Master Table'!$B$14:$B$31,MATCH(46330,'Master Table'!$C$14:$C$31,0)),"")</f>
        <v/>
      </c>
      <c r="E47" s="15" t="str">
        <f>IFERROR(INDEX('Master Table'!$B$14:$B$31,MATCH(46331,'Master Table'!$C$14:$C$31,0)),"")</f>
        <v>Game Night (HBS/HLS)</v>
      </c>
      <c r="F47" s="15" t="str">
        <f>IFERROR(INDEX('Master Table'!$B$14:$B$31,MATCH(46332,'Master Table'!$C$14:$C$31,0)),"")</f>
        <v/>
      </c>
      <c r="G47" s="14" t="str">
        <f>IFERROR(INDEX('Master Table'!$B$14:$B$31,MATCH(46333,'Master Table'!$C$14:$C$31,0)),"")</f>
        <v/>
      </c>
    </row>
    <row r="48" spans="1:7" ht="15" customHeight="1">
      <c r="A48" s="12">
        <v>8</v>
      </c>
      <c r="B48" s="13">
        <v>9</v>
      </c>
      <c r="C48" s="13">
        <v>10</v>
      </c>
      <c r="D48" s="13">
        <v>11</v>
      </c>
      <c r="E48" s="13">
        <v>12</v>
      </c>
      <c r="F48" s="13">
        <v>13</v>
      </c>
      <c r="G48" s="12">
        <v>14</v>
      </c>
    </row>
    <row r="49" spans="1:7" ht="30" customHeight="1">
      <c r="A49" s="14" t="str">
        <f>IFERROR(INDEX('Master Table'!$B$14:$B$31,MATCH(46334,'Master Table'!$C$14:$C$31,0)),"")</f>
        <v/>
      </c>
      <c r="B49" s="15" t="str">
        <f>IFERROR(INDEX('Master Table'!$B$14:$B$31,MATCH(46335,'Master Table'!$C$14:$C$31,0)),"")</f>
        <v/>
      </c>
      <c r="C49" s="15" t="str">
        <f>IFERROR(INDEX('Master Table'!$B$14:$B$31,MATCH(46336,'Master Table'!$C$14:$C$31,0)),"")</f>
        <v/>
      </c>
      <c r="D49" s="19" t="s">
        <v>81</v>
      </c>
      <c r="E49" s="15" t="str">
        <f>IFERROR(INDEX('Master Table'!$B$14:$B$31,MATCH(46338,'Master Table'!$C$14:$C$31,0)),"")</f>
        <v/>
      </c>
      <c r="F49" s="15" t="str">
        <f>IFERROR(INDEX('Master Table'!$B$14:$B$31,MATCH(46339,'Master Table'!$C$14:$C$31,0)),"")</f>
        <v/>
      </c>
      <c r="G49" s="14" t="str">
        <f>IFERROR(INDEX('Master Table'!$B$14:$B$31,MATCH(46340,'Master Table'!$C$14:$C$31,0)),"")</f>
        <v/>
      </c>
    </row>
    <row r="50" spans="1:7" ht="15" customHeight="1">
      <c r="A50" s="12">
        <v>15</v>
      </c>
      <c r="B50" s="13">
        <v>16</v>
      </c>
      <c r="C50" s="13">
        <v>17</v>
      </c>
      <c r="D50" s="13">
        <v>18</v>
      </c>
      <c r="E50" s="13">
        <v>19</v>
      </c>
      <c r="F50" s="13">
        <v>20</v>
      </c>
      <c r="G50" s="12">
        <v>21</v>
      </c>
    </row>
    <row r="51" spans="1:7" ht="30" customHeight="1">
      <c r="A51" s="14" t="str">
        <f>IFERROR(INDEX('Master Table'!$B$14:$B$31,MATCH(46341,'Master Table'!$C$14:$C$31,0)),"")</f>
        <v/>
      </c>
      <c r="B51" s="15" t="str">
        <f>IFERROR(INDEX('Master Table'!$B$14:$B$31,MATCH(46342,'Master Table'!$C$14:$C$31,0)),"")</f>
        <v/>
      </c>
      <c r="C51" s="15" t="str">
        <f>IFERROR(INDEX('Master Table'!$B$14:$B$31,MATCH(46343,'Master Table'!$C$14:$C$31,0)),"")</f>
        <v/>
      </c>
      <c r="D51" s="15" t="str">
        <f>IFERROR(INDEX('Master Table'!$B$14:$B$31,MATCH(46344,'Master Table'!$C$14:$C$31,0)),"")</f>
        <v/>
      </c>
      <c r="E51" s="15" t="str">
        <f>IFERROR(INDEX('Master Table'!$B$14:$B$31,MATCH(46345,'Master Table'!$C$14:$C$31,0)),"")</f>
        <v/>
      </c>
      <c r="F51" s="15" t="str">
        <f>IFERROR(INDEX('Master Table'!$B$14:$B$31,MATCH(46346,'Master Table'!$C$14:$C$31,0)),"")</f>
        <v/>
      </c>
      <c r="G51" s="14" t="str">
        <f>IFERROR(INDEX('Master Table'!$B$14:$B$31,MATCH(46347,'Master Table'!$C$14:$C$31,0)),"")</f>
        <v>Harvard-Yale Tent</v>
      </c>
    </row>
    <row r="52" spans="1:7" ht="15" customHeight="1">
      <c r="A52" s="12">
        <v>22</v>
      </c>
      <c r="B52" s="13">
        <v>23</v>
      </c>
      <c r="C52" s="13">
        <v>24</v>
      </c>
      <c r="D52" s="13">
        <v>25</v>
      </c>
      <c r="E52" s="13">
        <v>26</v>
      </c>
      <c r="F52" s="13">
        <v>27</v>
      </c>
      <c r="G52" s="12">
        <v>28</v>
      </c>
    </row>
    <row r="53" spans="1:7" ht="30" customHeight="1">
      <c r="A53" s="14" t="str">
        <f>IFERROR(INDEX('Master Table'!$B$14:$B$31,MATCH(46348,'Master Table'!$C$14:$C$31,0)),"")</f>
        <v/>
      </c>
      <c r="B53" s="15" t="str">
        <f>IFERROR(INDEX('Master Table'!$B$14:$B$31,MATCH(46349,'Master Table'!$C$14:$C$31,0)),"")</f>
        <v/>
      </c>
      <c r="C53" s="15" t="str">
        <f>IFERROR(INDEX('Master Table'!$B$14:$B$31,MATCH(46350,'Master Table'!$C$14:$C$31,0)),"")</f>
        <v/>
      </c>
      <c r="D53" s="19" t="s">
        <v>82</v>
      </c>
      <c r="E53" s="19" t="s">
        <v>83</v>
      </c>
      <c r="F53" s="19" t="s">
        <v>84</v>
      </c>
      <c r="G53" s="14" t="str">
        <f>IFERROR(INDEX('Master Table'!$B$14:$B$31,MATCH(46354,'Master Table'!$C$14:$C$31,0)),"")</f>
        <v/>
      </c>
    </row>
    <row r="54" spans="1:7" ht="15" customHeight="1">
      <c r="A54" s="12">
        <v>29</v>
      </c>
      <c r="B54" s="13">
        <v>30</v>
      </c>
      <c r="C54" s="16"/>
      <c r="D54" s="16"/>
      <c r="E54" s="16"/>
      <c r="F54" s="16"/>
      <c r="G54" s="17"/>
    </row>
    <row r="55" spans="1:7" ht="30" customHeight="1">
      <c r="A55" s="14" t="str">
        <f>IFERROR(INDEX('Master Table'!$B$14:$B$31,MATCH(46355,'Master Table'!$C$14:$C$31,0)),"")</f>
        <v/>
      </c>
      <c r="B55" s="15" t="str">
        <f>IFERROR(INDEX('Master Table'!$B$14:$B$31,MATCH(46356,'Master Table'!$C$14:$C$31,0)),"")</f>
        <v/>
      </c>
      <c r="C55" s="15"/>
      <c r="D55" s="15"/>
      <c r="E55" s="15"/>
      <c r="F55" s="15"/>
      <c r="G55" s="14"/>
    </row>
    <row r="57" spans="1:7" ht="15" customHeight="1">
      <c r="A57" s="32" t="s">
        <v>85</v>
      </c>
      <c r="B57" s="32"/>
      <c r="C57" s="32"/>
      <c r="D57" s="32"/>
      <c r="E57" s="32"/>
      <c r="F57" s="32"/>
      <c r="G57" s="32"/>
    </row>
    <row r="58" spans="1:7">
      <c r="A58" s="6" t="s">
        <v>67</v>
      </c>
      <c r="B58" s="6" t="s">
        <v>68</v>
      </c>
      <c r="C58" s="6" t="s">
        <v>69</v>
      </c>
      <c r="D58" s="6" t="s">
        <v>70</v>
      </c>
      <c r="E58" s="6" t="s">
        <v>71</v>
      </c>
      <c r="F58" s="6" t="s">
        <v>72</v>
      </c>
      <c r="G58" s="6" t="s">
        <v>73</v>
      </c>
    </row>
    <row r="59" spans="1:7" ht="15" customHeight="1">
      <c r="A59" s="17"/>
      <c r="B59" s="16"/>
      <c r="C59" s="13">
        <v>1</v>
      </c>
      <c r="D59" s="13">
        <v>2</v>
      </c>
      <c r="E59" s="13">
        <v>3</v>
      </c>
      <c r="F59" s="13">
        <v>4</v>
      </c>
      <c r="G59" s="12">
        <v>5</v>
      </c>
    </row>
    <row r="60" spans="1:7" ht="30" customHeight="1">
      <c r="A60" s="14"/>
      <c r="B60" s="15"/>
      <c r="C60" s="15" t="str">
        <f>IFERROR(INDEX('Master Table'!$B$14:$B$31,MATCH(46357,'Master Table'!$C$14:$C$31,0)),"")</f>
        <v/>
      </c>
      <c r="D60" s="15" t="str">
        <f>IFERROR(INDEX('Master Table'!$B$14:$B$31,MATCH(46358,'Master Table'!$C$14:$C$31,0)),"")</f>
        <v/>
      </c>
      <c r="E60" s="19" t="s">
        <v>86</v>
      </c>
      <c r="F60" s="19" t="s">
        <v>87</v>
      </c>
      <c r="G60" s="14" t="str">
        <f>IFERROR(INDEX('Master Table'!$B$14:$B$31,MATCH(46361,'Master Table'!$C$14:$C$31,0)),"")</f>
        <v/>
      </c>
    </row>
    <row r="61" spans="1:7" ht="15" customHeight="1">
      <c r="A61" s="12">
        <v>6</v>
      </c>
      <c r="B61" s="13">
        <v>7</v>
      </c>
      <c r="C61" s="13">
        <v>8</v>
      </c>
      <c r="D61" s="13">
        <v>9</v>
      </c>
      <c r="E61" s="13">
        <v>10</v>
      </c>
      <c r="F61" s="13">
        <v>11</v>
      </c>
      <c r="G61" s="12">
        <v>12</v>
      </c>
    </row>
    <row r="62" spans="1:7" ht="30" customHeight="1">
      <c r="A62" s="14" t="str">
        <f>IFERROR(INDEX('Master Table'!$B$14:$B$31,MATCH(46362,'Master Table'!$C$14:$C$31,0)),"")</f>
        <v/>
      </c>
      <c r="B62" s="15" t="str">
        <f>IFERROR(INDEX('Master Table'!$B$14:$B$31,MATCH(46363,'Master Table'!$C$14:$C$31,0)),"")</f>
        <v/>
      </c>
      <c r="C62" s="15" t="str">
        <f>IFERROR(INDEX('Master Table'!$B$14:$B$31,MATCH(46364,'Master Table'!$C$14:$C$31,0)),"")</f>
        <v/>
      </c>
      <c r="D62" s="15" t="str">
        <f>IFERROR(INDEX('Master Table'!$B$14:$B$31,MATCH(46365,'Master Table'!$C$14:$C$31,0)),"")</f>
        <v/>
      </c>
      <c r="E62" s="15" t="str">
        <f>IFERROR(INDEX('Master Table'!$B$14:$B$31,MATCH(46366,'Master Table'!$C$14:$C$31,0)),"")</f>
        <v/>
      </c>
      <c r="F62" s="15" t="str">
        <f>IFERROR(INDEX('Master Table'!$B$14:$B$31,MATCH(46367,'Master Table'!$C$14:$C$31,0)),"")</f>
        <v/>
      </c>
      <c r="G62" s="14" t="str">
        <f>IFERROR(INDEX('Master Table'!$B$14:$B$31,MATCH(46368,'Master Table'!$C$14:$C$31,0)),"")</f>
        <v/>
      </c>
    </row>
    <row r="63" spans="1:7" ht="15" customHeight="1">
      <c r="A63" s="12">
        <v>13</v>
      </c>
      <c r="B63" s="13">
        <v>14</v>
      </c>
      <c r="C63" s="13">
        <v>15</v>
      </c>
      <c r="D63" s="13">
        <v>16</v>
      </c>
      <c r="E63" s="13">
        <v>17</v>
      </c>
      <c r="F63" s="13">
        <v>18</v>
      </c>
      <c r="G63" s="12">
        <v>19</v>
      </c>
    </row>
    <row r="64" spans="1:7" ht="30" customHeight="1">
      <c r="A64" s="14" t="str">
        <f>IFERROR(INDEX('Master Table'!$B$14:$B$31,MATCH(46369,'Master Table'!$C$14:$C$31,0)),"")</f>
        <v/>
      </c>
      <c r="B64" s="15" t="str">
        <f>IFERROR(INDEX('Master Table'!$B$14:$B$31,MATCH(46370,'Master Table'!$C$14:$C$31,0)),"")</f>
        <v/>
      </c>
      <c r="C64" s="15" t="str">
        <f>IFERROR(INDEX('Master Table'!$B$14:$B$31,MATCH(46371,'Master Table'!$C$14:$C$31,0)),"")</f>
        <v/>
      </c>
      <c r="D64" s="15" t="str">
        <f>IFERROR(INDEX('Master Table'!$B$14:$B$31,MATCH(46372,'Master Table'!$C$14:$C$31,0)),"")</f>
        <v/>
      </c>
      <c r="E64" s="15" t="str">
        <f>IFERROR(INDEX('Master Table'!$B$14:$B$31,MATCH(46373,'Master Table'!$C$14:$C$31,0)),"")</f>
        <v/>
      </c>
      <c r="F64" s="19" t="s">
        <v>88</v>
      </c>
      <c r="G64" s="14" t="str">
        <f>IFERROR(INDEX('Master Table'!$B$14:$B$31,MATCH(46375,'Master Table'!$C$14:$C$31,0)),"")</f>
        <v/>
      </c>
    </row>
    <row r="65" spans="1:7" ht="15" customHeight="1">
      <c r="A65" s="12">
        <v>20</v>
      </c>
      <c r="B65" s="13">
        <v>21</v>
      </c>
      <c r="C65" s="13">
        <v>22</v>
      </c>
      <c r="D65" s="13">
        <v>23</v>
      </c>
      <c r="E65" s="13">
        <v>24</v>
      </c>
      <c r="F65" s="13">
        <v>25</v>
      </c>
      <c r="G65" s="12">
        <v>26</v>
      </c>
    </row>
    <row r="66" spans="1:7" ht="30" customHeight="1">
      <c r="A66" s="14" t="str">
        <f>IFERROR(INDEX('Master Table'!$B$14:$B$31,MATCH(46376,'Master Table'!$C$14:$C$31,0)),"")</f>
        <v/>
      </c>
      <c r="B66" s="15" t="str">
        <f>IFERROR(INDEX('Master Table'!$B$14:$B$31,MATCH(46377,'Master Table'!$C$14:$C$31,0)),"")</f>
        <v/>
      </c>
      <c r="C66" s="15" t="str">
        <f>IFERROR(INDEX('Master Table'!$B$14:$B$31,MATCH(46378,'Master Table'!$C$14:$C$31,0)),"")</f>
        <v/>
      </c>
      <c r="D66" s="15" t="str">
        <f>IFERROR(INDEX('Master Table'!$B$14:$B$31,MATCH(46379,'Master Table'!$C$14:$C$31,0)),"")</f>
        <v/>
      </c>
      <c r="E66" s="15" t="str">
        <f>IFERROR(INDEX('Master Table'!$B$14:$B$31,MATCH(46380,'Master Table'!$C$14:$C$31,0)),"")</f>
        <v/>
      </c>
      <c r="F66" s="19" t="s">
        <v>89</v>
      </c>
      <c r="G66" s="14" t="str">
        <f>IFERROR(INDEX('Master Table'!$B$14:$B$31,MATCH(46382,'Master Table'!$C$14:$C$31,0)),"")</f>
        <v/>
      </c>
    </row>
    <row r="67" spans="1:7" ht="15" customHeight="1">
      <c r="A67" s="12">
        <v>27</v>
      </c>
      <c r="B67" s="13">
        <v>28</v>
      </c>
      <c r="C67" s="13">
        <v>29</v>
      </c>
      <c r="D67" s="13">
        <v>30</v>
      </c>
      <c r="E67" s="13">
        <v>31</v>
      </c>
      <c r="F67" s="16"/>
      <c r="G67" s="17"/>
    </row>
    <row r="68" spans="1:7" ht="30" customHeight="1">
      <c r="A68" s="14" t="str">
        <f>IFERROR(INDEX('Master Table'!$B$14:$B$31,MATCH(46383,'Master Table'!$C$14:$C$31,0)),"")</f>
        <v/>
      </c>
      <c r="B68" s="15" t="str">
        <f>IFERROR(INDEX('Master Table'!$B$14:$B$31,MATCH(46384,'Master Table'!$C$14:$C$31,0)),"")</f>
        <v/>
      </c>
      <c r="C68" s="15" t="str">
        <f>IFERROR(INDEX('Master Table'!$B$14:$B$31,MATCH(46385,'Master Table'!$C$14:$C$31,0)),"")</f>
        <v/>
      </c>
      <c r="D68" s="15" t="str">
        <f>IFERROR(INDEX('Master Table'!$B$14:$B$31,MATCH(46386,'Master Table'!$C$14:$C$31,0)),"")</f>
        <v/>
      </c>
      <c r="E68" s="19" t="s">
        <v>90</v>
      </c>
      <c r="F68" s="15"/>
      <c r="G68" s="14"/>
    </row>
    <row r="70" spans="1:7" ht="15" customHeight="1">
      <c r="A70" s="32" t="s">
        <v>91</v>
      </c>
      <c r="B70" s="32"/>
      <c r="C70" s="32"/>
      <c r="D70" s="32"/>
      <c r="E70" s="32"/>
      <c r="F70" s="32"/>
      <c r="G70" s="32"/>
    </row>
    <row r="71" spans="1:7">
      <c r="A71" s="6" t="s">
        <v>67</v>
      </c>
      <c r="B71" s="6" t="s">
        <v>68</v>
      </c>
      <c r="C71" s="6" t="s">
        <v>69</v>
      </c>
      <c r="D71" s="6" t="s">
        <v>70</v>
      </c>
      <c r="E71" s="6" t="s">
        <v>71</v>
      </c>
      <c r="F71" s="6" t="s">
        <v>72</v>
      </c>
      <c r="G71" s="6" t="s">
        <v>73</v>
      </c>
    </row>
    <row r="72" spans="1:7" ht="15" customHeight="1">
      <c r="A72" s="17"/>
      <c r="B72" s="16"/>
      <c r="C72" s="16"/>
      <c r="D72" s="16"/>
      <c r="E72" s="16"/>
      <c r="F72" s="13">
        <v>1</v>
      </c>
      <c r="G72" s="12">
        <v>2</v>
      </c>
    </row>
    <row r="73" spans="1:7" ht="30" customHeight="1">
      <c r="A73" s="14"/>
      <c r="B73" s="15"/>
      <c r="C73" s="15"/>
      <c r="D73" s="15"/>
      <c r="E73" s="15"/>
      <c r="F73" s="19" t="s">
        <v>92</v>
      </c>
      <c r="G73" s="14" t="str">
        <f>IFERROR(INDEX('Master Table'!$B$14:$B$31,MATCH(46389,'Master Table'!$C$14:$C$31,0)),"")</f>
        <v/>
      </c>
    </row>
    <row r="74" spans="1:7" ht="15" customHeight="1">
      <c r="A74" s="12">
        <v>3</v>
      </c>
      <c r="B74" s="13">
        <v>4</v>
      </c>
      <c r="C74" s="13">
        <v>5</v>
      </c>
      <c r="D74" s="13">
        <v>6</v>
      </c>
      <c r="E74" s="13">
        <v>7</v>
      </c>
      <c r="F74" s="13">
        <v>8</v>
      </c>
      <c r="G74" s="12">
        <v>9</v>
      </c>
    </row>
    <row r="75" spans="1:7" ht="30" customHeight="1">
      <c r="A75" s="14" t="str">
        <f>IFERROR(INDEX('Master Table'!$B$14:$B$31,MATCH(46390,'Master Table'!$C$14:$C$31,0)),"")</f>
        <v/>
      </c>
      <c r="B75" s="15" t="str">
        <f>IFERROR(INDEX('Master Table'!$B$14:$B$31,MATCH(46391,'Master Table'!$C$14:$C$31,0)),"")</f>
        <v/>
      </c>
      <c r="C75" s="15" t="str">
        <f>IFERROR(INDEX('Master Table'!$B$14:$B$31,MATCH(46392,'Master Table'!$C$14:$C$31,0)),"")</f>
        <v/>
      </c>
      <c r="D75" s="15" t="str">
        <f>IFERROR(INDEX('Master Table'!$B$14:$B$31,MATCH(46393,'Master Table'!$C$14:$C$31,0)),"")</f>
        <v/>
      </c>
      <c r="E75" s="15" t="str">
        <f>IFERROR(INDEX('Master Table'!$B$14:$B$31,MATCH(46394,'Master Table'!$C$14:$C$31,0)),"")</f>
        <v/>
      </c>
      <c r="F75" s="15" t="str">
        <f>IFERROR(INDEX('Master Table'!$B$14:$B$31,MATCH(46395,'Master Table'!$C$14:$C$31,0)),"")</f>
        <v/>
      </c>
      <c r="G75" s="14" t="str">
        <f>IFERROR(INDEX('Master Table'!$B$14:$B$31,MATCH(46396,'Master Table'!$C$14:$C$31,0)),"")</f>
        <v/>
      </c>
    </row>
    <row r="76" spans="1:7" ht="15" customHeight="1">
      <c r="A76" s="12">
        <v>10</v>
      </c>
      <c r="B76" s="13">
        <v>11</v>
      </c>
      <c r="C76" s="13">
        <v>12</v>
      </c>
      <c r="D76" s="13">
        <v>13</v>
      </c>
      <c r="E76" s="13">
        <v>14</v>
      </c>
      <c r="F76" s="13">
        <v>15</v>
      </c>
      <c r="G76" s="12">
        <v>16</v>
      </c>
    </row>
    <row r="77" spans="1:7" ht="30" customHeight="1">
      <c r="A77" s="14" t="str">
        <f>IFERROR(INDEX('Master Table'!$B$14:$B$31,MATCH(46397,'Master Table'!$C$14:$C$31,0)),"")</f>
        <v/>
      </c>
      <c r="B77" s="15" t="str">
        <f>IFERROR(INDEX('Master Table'!$B$14:$B$31,MATCH(46398,'Master Table'!$C$14:$C$31,0)),"")</f>
        <v/>
      </c>
      <c r="C77" s="15" t="str">
        <f>IFERROR(INDEX('Master Table'!$B$14:$B$31,MATCH(46399,'Master Table'!$C$14:$C$31,0)),"")</f>
        <v/>
      </c>
      <c r="D77" s="15" t="str">
        <f>IFERROR(INDEX('Master Table'!$B$14:$B$31,MATCH(46400,'Master Table'!$C$14:$C$31,0)),"")</f>
        <v/>
      </c>
      <c r="E77" s="15" t="str">
        <f>IFERROR(INDEX('Master Table'!$B$14:$B$31,MATCH(46401,'Master Table'!$C$14:$C$31,0)),"")</f>
        <v/>
      </c>
      <c r="F77" s="15" t="str">
        <f>IFERROR(INDEX('Master Table'!$B$14:$B$31,MATCH(46402,'Master Table'!$C$14:$C$31,0)),"")</f>
        <v/>
      </c>
      <c r="G77" s="14" t="str">
        <f>IFERROR(INDEX('Master Table'!$B$14:$B$31,MATCH(46403,'Master Table'!$C$14:$C$31,0)),"")</f>
        <v/>
      </c>
    </row>
    <row r="78" spans="1:7" ht="15" customHeight="1">
      <c r="A78" s="12">
        <v>17</v>
      </c>
      <c r="B78" s="13">
        <v>18</v>
      </c>
      <c r="C78" s="13">
        <v>19</v>
      </c>
      <c r="D78" s="13">
        <v>20</v>
      </c>
      <c r="E78" s="13">
        <v>21</v>
      </c>
      <c r="F78" s="13">
        <v>22</v>
      </c>
      <c r="G78" s="12">
        <v>23</v>
      </c>
    </row>
    <row r="79" spans="1:7" ht="30" customHeight="1">
      <c r="A79" s="14" t="str">
        <f>IFERROR(INDEX('Master Table'!$B$14:$B$31,MATCH(46404,'Master Table'!$C$14:$C$31,0)),"")</f>
        <v/>
      </c>
      <c r="B79" s="19" t="s">
        <v>93</v>
      </c>
      <c r="C79" s="15" t="str">
        <f>IFERROR(INDEX('Master Table'!$B$14:$B$31,MATCH(46406,'Master Table'!$C$14:$C$31,0)),"")</f>
        <v/>
      </c>
      <c r="D79" s="15" t="str">
        <f>IFERROR(INDEX('Master Table'!$B$14:$B$31,MATCH(46407,'Master Table'!$C$14:$C$31,0)),"")</f>
        <v/>
      </c>
      <c r="E79" s="15" t="str">
        <f>IFERROR(INDEX('Master Table'!$B$14:$B$31,MATCH(46408,'Master Table'!$C$14:$C$31,0)),"")</f>
        <v/>
      </c>
      <c r="F79" s="15" t="str">
        <f>IFERROR(INDEX('Master Table'!$B$14:$B$31,MATCH(46409,'Master Table'!$C$14:$C$31,0)),"")</f>
        <v/>
      </c>
      <c r="G79" s="14" t="str">
        <f>IFERROR(INDEX('Master Table'!$B$14:$B$31,MATCH(46410,'Master Table'!$C$14:$C$31,0)),"")</f>
        <v/>
      </c>
    </row>
    <row r="80" spans="1:7" ht="15" customHeight="1">
      <c r="A80" s="12">
        <v>24</v>
      </c>
      <c r="B80" s="13">
        <v>25</v>
      </c>
      <c r="C80" s="13">
        <v>26</v>
      </c>
      <c r="D80" s="13">
        <v>27</v>
      </c>
      <c r="E80" s="13">
        <v>28</v>
      </c>
      <c r="F80" s="13">
        <v>29</v>
      </c>
      <c r="G80" s="12">
        <v>30</v>
      </c>
    </row>
    <row r="81" spans="1:7" ht="30" customHeight="1">
      <c r="A81" s="14" t="str">
        <f>IFERROR(INDEX('Master Table'!$B$14:$B$31,MATCH(46411,'Master Table'!$C$14:$C$31,0)),"")</f>
        <v/>
      </c>
      <c r="B81" s="19" t="s">
        <v>94</v>
      </c>
      <c r="C81" s="15" t="str">
        <f>IFERROR(INDEX('Master Table'!$B$14:$B$31,MATCH(46413,'Master Table'!$C$14:$C$31,0)),"")</f>
        <v/>
      </c>
      <c r="D81" s="15" t="str">
        <f>IFERROR(INDEX('Master Table'!$B$14:$B$31,MATCH(46414,'Master Table'!$C$14:$C$31,0)),"")</f>
        <v/>
      </c>
      <c r="E81" s="15" t="str">
        <f>IFERROR(INDEX('Master Table'!$B$14:$B$31,MATCH(46415,'Master Table'!$C$14:$C$31,0)),"")</f>
        <v/>
      </c>
      <c r="F81" s="15" t="str">
        <f>IFERROR(INDEX('Master Table'!$B$14:$B$31,MATCH(46416,'Master Table'!$C$14:$C$31,0)),"")</f>
        <v/>
      </c>
      <c r="G81" s="14" t="str">
        <f>IFERROR(INDEX('Master Table'!$B$14:$B$31,MATCH(46417,'Master Table'!$C$14:$C$31,0)),"")</f>
        <v/>
      </c>
    </row>
    <row r="82" spans="1:7" ht="15" customHeight="1">
      <c r="A82" s="12">
        <v>31</v>
      </c>
      <c r="B82" s="16"/>
      <c r="C82" s="16"/>
      <c r="D82" s="16"/>
      <c r="E82" s="16"/>
      <c r="F82" s="16"/>
      <c r="G82" s="17"/>
    </row>
    <row r="83" spans="1:7" ht="30" customHeight="1">
      <c r="A83" s="14" t="str">
        <f>IFERROR(INDEX('Master Table'!$B$14:$B$31,MATCH(46418,'Master Table'!$C$14:$C$31,0)),"")</f>
        <v/>
      </c>
      <c r="B83" s="15"/>
      <c r="C83" s="15"/>
      <c r="D83" s="15"/>
      <c r="E83" s="15"/>
      <c r="F83" s="15"/>
      <c r="G83" s="14"/>
    </row>
    <row r="85" spans="1:7" ht="15" customHeight="1">
      <c r="A85" s="32" t="s">
        <v>95</v>
      </c>
      <c r="B85" s="32"/>
      <c r="C85" s="32"/>
      <c r="D85" s="32"/>
      <c r="E85" s="32"/>
      <c r="F85" s="32"/>
      <c r="G85" s="32"/>
    </row>
    <row r="86" spans="1:7">
      <c r="A86" s="6" t="s">
        <v>67</v>
      </c>
      <c r="B86" s="6" t="s">
        <v>68</v>
      </c>
      <c r="C86" s="6" t="s">
        <v>69</v>
      </c>
      <c r="D86" s="6" t="s">
        <v>70</v>
      </c>
      <c r="E86" s="6" t="s">
        <v>71</v>
      </c>
      <c r="F86" s="6" t="s">
        <v>72</v>
      </c>
      <c r="G86" s="6" t="s">
        <v>73</v>
      </c>
    </row>
    <row r="87" spans="1:7" ht="15" customHeight="1">
      <c r="A87" s="17"/>
      <c r="B87" s="13">
        <v>1</v>
      </c>
      <c r="C87" s="13">
        <v>2</v>
      </c>
      <c r="D87" s="13">
        <v>3</v>
      </c>
      <c r="E87" s="13">
        <v>4</v>
      </c>
      <c r="F87" s="13">
        <v>5</v>
      </c>
      <c r="G87" s="12">
        <v>6</v>
      </c>
    </row>
    <row r="88" spans="1:7" ht="30" customHeight="1">
      <c r="A88" s="14"/>
      <c r="B88" s="15" t="str">
        <f>IFERROR(INDEX('Master Table'!$B$14:$B$31,MATCH(46419,'Master Table'!$C$14:$C$31,0)),"")</f>
        <v/>
      </c>
      <c r="C88" s="15" t="str">
        <f>IFERROR(INDEX('Master Table'!$B$14:$B$31,MATCH(46420,'Master Table'!$C$14:$C$31,0)),"")</f>
        <v/>
      </c>
      <c r="D88" s="15" t="str">
        <f>IFERROR(INDEX('Master Table'!$B$14:$B$31,MATCH(46421,'Master Table'!$C$14:$C$31,0)),"")</f>
        <v/>
      </c>
      <c r="E88" s="15" t="str">
        <f>IFERROR(INDEX('Master Table'!$B$14:$B$31,MATCH(46422,'Master Table'!$C$14:$C$31,0)),"")</f>
        <v/>
      </c>
      <c r="F88" s="15" t="str">
        <f>IFERROR(INDEX('Master Table'!$B$14:$B$31,MATCH(46423,'Master Table'!$C$14:$C$31,0)),"")</f>
        <v/>
      </c>
      <c r="G88" s="14" t="str">
        <f>IFERROR(INDEX('Master Table'!$B$14:$B$31,MATCH(46424,'Master Table'!$C$14:$C$31,0)),"")</f>
        <v/>
      </c>
    </row>
    <row r="89" spans="1:7" ht="15" customHeight="1">
      <c r="A89" s="12">
        <v>7</v>
      </c>
      <c r="B89" s="13">
        <v>8</v>
      </c>
      <c r="C89" s="13">
        <v>9</v>
      </c>
      <c r="D89" s="13">
        <v>10</v>
      </c>
      <c r="E89" s="13">
        <v>11</v>
      </c>
      <c r="F89" s="13">
        <v>12</v>
      </c>
      <c r="G89" s="12">
        <v>13</v>
      </c>
    </row>
    <row r="90" spans="1:7" ht="30" customHeight="1">
      <c r="A90" s="14" t="str">
        <f>IFERROR(INDEX('Master Table'!$B$14:$B$31,MATCH(46425,'Master Table'!$C$14:$C$31,0)),"")</f>
        <v/>
      </c>
      <c r="B90" s="15" t="str">
        <f>IFERROR(INDEX('Master Table'!$B$14:$B$31,MATCH(46426,'Master Table'!$C$14:$C$31,0)),"")</f>
        <v/>
      </c>
      <c r="C90" s="15" t="str">
        <f>IFERROR(INDEX('Master Table'!$B$14:$B$31,MATCH(46427,'Master Table'!$C$14:$C$31,0)),"")</f>
        <v/>
      </c>
      <c r="D90" s="15" t="str">
        <f>IFERROR(INDEX('Master Table'!$B$14:$B$31,MATCH(46428,'Master Table'!$C$14:$C$31,0)),"")</f>
        <v/>
      </c>
      <c r="E90" s="15" t="str">
        <f>IFERROR(INDEX('Master Table'!$B$14:$B$31,MATCH(46429,'Master Table'!$C$14:$C$31,0)),"")</f>
        <v/>
      </c>
      <c r="F90" s="15" t="str">
        <f>IFERROR(INDEX('Master Table'!$B$14:$B$31,MATCH(46430,'Master Table'!$C$14:$C$31,0)),"")</f>
        <v/>
      </c>
      <c r="G90" s="14" t="str">
        <f>IFERROR(INDEX('Master Table'!$B$14:$B$31,MATCH(46431,'Master Table'!$C$14:$C$31,0)),"")</f>
        <v/>
      </c>
    </row>
    <row r="91" spans="1:7" ht="15" customHeight="1">
      <c r="A91" s="12">
        <v>14</v>
      </c>
      <c r="B91" s="13">
        <v>15</v>
      </c>
      <c r="C91" s="13">
        <v>16</v>
      </c>
      <c r="D91" s="13">
        <v>17</v>
      </c>
      <c r="E91" s="13">
        <v>18</v>
      </c>
      <c r="F91" s="13">
        <v>19</v>
      </c>
      <c r="G91" s="12">
        <v>20</v>
      </c>
    </row>
    <row r="92" spans="1:7" ht="30" customHeight="1">
      <c r="A92" s="14" t="str">
        <f>IFERROR(INDEX('Master Table'!$B$14:$B$31,MATCH(46432,'Master Table'!$C$14:$C$31,0)),"")</f>
        <v/>
      </c>
      <c r="B92" s="19" t="s">
        <v>96</v>
      </c>
      <c r="C92" s="15" t="str">
        <f>IFERROR(INDEX('Master Table'!$B$14:$B$31,MATCH(46434,'Master Table'!$C$14:$C$31,0)),"")</f>
        <v/>
      </c>
      <c r="D92" s="15" t="str">
        <f>IFERROR(INDEX('Master Table'!$B$14:$B$31,MATCH(46435,'Master Table'!$C$14:$C$31,0)),"")</f>
        <v/>
      </c>
      <c r="E92" s="15" t="str">
        <f>IFERROR(INDEX('Master Table'!$B$14:$B$31,MATCH(46436,'Master Table'!$C$14:$C$31,0)),"")</f>
        <v>Spring Party (Millennium)</v>
      </c>
      <c r="F92" s="15" t="str">
        <f>IFERROR(INDEX('Master Table'!$B$14:$B$31,MATCH(46437,'Master Table'!$C$14:$C$31,0)),"")</f>
        <v/>
      </c>
      <c r="G92" s="14" t="str">
        <f>IFERROR(INDEX('Master Table'!$B$14:$B$31,MATCH(46438,'Master Table'!$C$14:$C$31,0)),"")</f>
        <v/>
      </c>
    </row>
    <row r="93" spans="1:7" ht="15" customHeight="1">
      <c r="A93" s="12">
        <v>21</v>
      </c>
      <c r="B93" s="13">
        <v>22</v>
      </c>
      <c r="C93" s="13">
        <v>23</v>
      </c>
      <c r="D93" s="13">
        <v>24</v>
      </c>
      <c r="E93" s="13">
        <v>25</v>
      </c>
      <c r="F93" s="13">
        <v>26</v>
      </c>
      <c r="G93" s="12">
        <v>27</v>
      </c>
    </row>
    <row r="94" spans="1:7" ht="30" customHeight="1">
      <c r="A94" s="14" t="str">
        <f>IFERROR(INDEX('Master Table'!$B$14:$B$31,MATCH(46439,'Master Table'!$C$14:$C$31,0)),"")</f>
        <v/>
      </c>
      <c r="B94" s="15" t="str">
        <f>IFERROR(INDEX('Master Table'!$B$14:$B$31,MATCH(46440,'Master Table'!$C$14:$C$31,0)),"")</f>
        <v/>
      </c>
      <c r="C94" s="15" t="str">
        <f>IFERROR(INDEX('Master Table'!$B$14:$B$31,MATCH(46441,'Master Table'!$C$14:$C$31,0)),"")</f>
        <v/>
      </c>
      <c r="D94" s="15" t="str">
        <f>IFERROR(INDEX('Master Table'!$B$14:$B$31,MATCH(46442,'Master Table'!$C$14:$C$31,0)),"")</f>
        <v/>
      </c>
      <c r="E94" s="15" t="str">
        <f>IFERROR(INDEX('Master Table'!$B$14:$B$31,MATCH(46443,'Master Table'!$C$14:$C$31,0)),"")</f>
        <v/>
      </c>
      <c r="F94" s="15" t="str">
        <f>IFERROR(INDEX('Master Table'!$B$14:$B$31,MATCH(46444,'Master Table'!$C$14:$C$31,0)),"")</f>
        <v/>
      </c>
      <c r="G94" s="14" t="str">
        <f>IFERROR(INDEX('Master Table'!$B$14:$B$31,MATCH(46445,'Master Table'!$C$14:$C$31,0)),"")</f>
        <v>Fitzhugh Conference Afterparty</v>
      </c>
    </row>
    <row r="95" spans="1:7" ht="15" customHeight="1">
      <c r="A95" s="12">
        <v>28</v>
      </c>
      <c r="B95" s="16"/>
      <c r="C95" s="16"/>
      <c r="D95" s="16"/>
      <c r="E95" s="16"/>
      <c r="F95" s="16"/>
      <c r="G95" s="17"/>
    </row>
    <row r="96" spans="1:7" ht="30" customHeight="1">
      <c r="A96" s="14" t="str">
        <f>IFERROR(INDEX('Master Table'!$B$14:$B$31,MATCH(46446,'Master Table'!$C$14:$C$31,0)),"")</f>
        <v/>
      </c>
      <c r="B96" s="15"/>
      <c r="C96" s="15"/>
      <c r="D96" s="15"/>
      <c r="E96" s="15"/>
      <c r="F96" s="15"/>
      <c r="G96" s="14"/>
    </row>
    <row r="98" spans="1:7" ht="15" customHeight="1">
      <c r="A98" s="32" t="s">
        <v>97</v>
      </c>
      <c r="B98" s="32"/>
      <c r="C98" s="32"/>
      <c r="D98" s="32"/>
      <c r="E98" s="32"/>
      <c r="F98" s="32"/>
      <c r="G98" s="32"/>
    </row>
    <row r="99" spans="1:7">
      <c r="A99" s="6" t="s">
        <v>67</v>
      </c>
      <c r="B99" s="6" t="s">
        <v>68</v>
      </c>
      <c r="C99" s="6" t="s">
        <v>69</v>
      </c>
      <c r="D99" s="6" t="s">
        <v>70</v>
      </c>
      <c r="E99" s="6" t="s">
        <v>71</v>
      </c>
      <c r="F99" s="6" t="s">
        <v>72</v>
      </c>
      <c r="G99" s="6" t="s">
        <v>73</v>
      </c>
    </row>
    <row r="100" spans="1:7" ht="15" customHeight="1">
      <c r="A100" s="17"/>
      <c r="B100" s="13">
        <v>1</v>
      </c>
      <c r="C100" s="13">
        <v>2</v>
      </c>
      <c r="D100" s="13">
        <v>3</v>
      </c>
      <c r="E100" s="13">
        <v>4</v>
      </c>
      <c r="F100" s="13">
        <v>5</v>
      </c>
      <c r="G100" s="12">
        <v>6</v>
      </c>
    </row>
    <row r="101" spans="1:7" ht="30" customHeight="1">
      <c r="A101" s="14"/>
      <c r="B101" s="15" t="str">
        <f>IFERROR(INDEX('Master Table'!$B$14:$B$31,MATCH(46447,'Master Table'!$C$14:$C$31,0)),"")</f>
        <v/>
      </c>
      <c r="C101" s="15" t="str">
        <f>IFERROR(INDEX('Master Table'!$B$14:$B$31,MATCH(46448,'Master Table'!$C$14:$C$31,0)),"")</f>
        <v/>
      </c>
      <c r="D101" s="15" t="str">
        <f>IFERROR(INDEX('Master Table'!$B$14:$B$31,MATCH(46449,'Master Table'!$C$14:$C$31,0)),"")</f>
        <v/>
      </c>
      <c r="E101" s="15" t="str">
        <f>IFERROR(INDEX('Master Table'!$B$14:$B$31,MATCH(46450,'Master Table'!$C$14:$C$31,0)),"")</f>
        <v/>
      </c>
      <c r="F101" s="15" t="str">
        <f>IFERROR(INDEX('Master Table'!$B$14:$B$31,MATCH(46451,'Master Table'!$C$14:$C$31,0)),"")</f>
        <v/>
      </c>
      <c r="G101" s="14" t="str">
        <f>IFERROR(INDEX('Master Table'!$B$14:$B$31,MATCH(46452,'Master Table'!$C$14:$C$31,0)),"")</f>
        <v/>
      </c>
    </row>
    <row r="102" spans="1:7" ht="15" customHeight="1">
      <c r="A102" s="12">
        <v>7</v>
      </c>
      <c r="B102" s="13">
        <v>8</v>
      </c>
      <c r="C102" s="13">
        <v>9</v>
      </c>
      <c r="D102" s="13">
        <v>10</v>
      </c>
      <c r="E102" s="13">
        <v>11</v>
      </c>
      <c r="F102" s="13">
        <v>12</v>
      </c>
      <c r="G102" s="12">
        <v>13</v>
      </c>
    </row>
    <row r="103" spans="1:7" ht="30" customHeight="1">
      <c r="A103" s="14" t="str">
        <f>IFERROR(INDEX('Master Table'!$B$14:$B$31,MATCH(46453,'Master Table'!$C$14:$C$31,0)),"")</f>
        <v/>
      </c>
      <c r="B103" s="15" t="str">
        <f>IFERROR(INDEX('Master Table'!$B$14:$B$31,MATCH(46454,'Master Table'!$C$14:$C$31,0)),"")</f>
        <v/>
      </c>
      <c r="C103" s="15" t="str">
        <f>IFERROR(INDEX('Master Table'!$B$14:$B$31,MATCH(46455,'Master Table'!$C$14:$C$31,0)),"")</f>
        <v/>
      </c>
      <c r="D103" s="15" t="str">
        <f>IFERROR(INDEX('Master Table'!$B$14:$B$31,MATCH(46456,'Master Table'!$C$14:$C$31,0)),"")</f>
        <v/>
      </c>
      <c r="E103" s="15" t="str">
        <f>IFERROR(INDEX('Master Table'!$B$14:$B$31,MATCH(46457,'Master Table'!$C$14:$C$31,0)),"")</f>
        <v>AASU Happy Hour</v>
      </c>
      <c r="F103" s="15" t="str">
        <f>IFERROR(INDEX('Master Table'!$B$14:$B$31,MATCH(46458,'Master Table'!$C$14:$C$31,0)),"")</f>
        <v/>
      </c>
      <c r="G103" s="14" t="str">
        <f>IFERROR(INDEX('Master Table'!$B$14:$B$31,MATCH(46459,'Master Table'!$C$14:$C$31,0)),"")</f>
        <v/>
      </c>
    </row>
    <row r="104" spans="1:7" ht="15" customHeight="1">
      <c r="A104" s="12">
        <v>14</v>
      </c>
      <c r="B104" s="13">
        <v>15</v>
      </c>
      <c r="C104" s="13">
        <v>16</v>
      </c>
      <c r="D104" s="13">
        <v>17</v>
      </c>
      <c r="E104" s="13">
        <v>18</v>
      </c>
      <c r="F104" s="13">
        <v>19</v>
      </c>
      <c r="G104" s="12">
        <v>20</v>
      </c>
    </row>
    <row r="105" spans="1:7" ht="30" customHeight="1">
      <c r="A105" s="14" t="str">
        <f>IFERROR(INDEX('Master Table'!$B$14:$B$31,MATCH(46460,'Master Table'!$C$14:$C$31,0)),"")</f>
        <v/>
      </c>
      <c r="B105" s="19" t="s">
        <v>98</v>
      </c>
      <c r="C105" s="15" t="str">
        <f>IFERROR(INDEX('Master Table'!$B$14:$B$31,MATCH(46462,'Master Table'!$C$14:$C$31,0)),"")</f>
        <v/>
      </c>
      <c r="D105" s="15" t="str">
        <f>IFERROR(INDEX('Master Table'!$B$14:$B$31,MATCH(46463,'Master Table'!$C$14:$C$31,0)),"")</f>
        <v/>
      </c>
      <c r="E105" s="15" t="str">
        <f>IFERROR(INDEX('Master Table'!$B$14:$B$31,MATCH(46464,'Master Table'!$C$14:$C$31,0)),"")</f>
        <v/>
      </c>
      <c r="F105" s="19" t="s">
        <v>99</v>
      </c>
      <c r="G105" s="14" t="str">
        <f>IFERROR(INDEX('Master Table'!$B$14:$B$31,MATCH(46466,'Master Table'!$C$14:$C$31,0)),"")</f>
        <v/>
      </c>
    </row>
    <row r="106" spans="1:7" ht="15" customHeight="1">
      <c r="A106" s="12">
        <v>21</v>
      </c>
      <c r="B106" s="13">
        <v>22</v>
      </c>
      <c r="C106" s="13">
        <v>23</v>
      </c>
      <c r="D106" s="13">
        <v>24</v>
      </c>
      <c r="E106" s="13">
        <v>25</v>
      </c>
      <c r="F106" s="13">
        <v>26</v>
      </c>
      <c r="G106" s="12">
        <v>27</v>
      </c>
    </row>
    <row r="107" spans="1:7" ht="30" customHeight="1">
      <c r="A107" s="14" t="str">
        <f>IFERROR(INDEX('Master Table'!$B$14:$B$31,MATCH(46467,'Master Table'!$C$14:$C$31,0)),"")</f>
        <v/>
      </c>
      <c r="B107" s="15" t="str">
        <f>IFERROR(INDEX('Master Table'!$B$14:$B$31,MATCH(46468,'Master Table'!$C$14:$C$31,0)),"")</f>
        <v/>
      </c>
      <c r="C107" s="15" t="str">
        <f>IFERROR(INDEX('Master Table'!$B$14:$B$31,MATCH(46469,'Master Table'!$C$14:$C$31,0)),"")</f>
        <v/>
      </c>
      <c r="D107" s="15" t="str">
        <f>IFERROR(INDEX('Master Table'!$B$14:$B$31,MATCH(46470,'Master Table'!$C$14:$C$31,0)),"")</f>
        <v/>
      </c>
      <c r="E107" s="15" t="str">
        <f>IFERROR(INDEX('Master Table'!$B$14:$B$31,MATCH(46471,'Master Table'!$C$14:$C$31,0)),"")</f>
        <v/>
      </c>
      <c r="F107" s="15" t="str">
        <f>IFERROR(INDEX('Master Table'!$B$14:$B$31,MATCH(46472,'Master Table'!$C$14:$C$31,0)),"")</f>
        <v/>
      </c>
      <c r="G107" s="14" t="str">
        <f>IFERROR(INDEX('Master Table'!$B$14:$B$31,MATCH(46473,'Master Table'!$C$14:$C$31,0)),"")</f>
        <v/>
      </c>
    </row>
    <row r="108" spans="1:7" ht="15" customHeight="1">
      <c r="A108" s="12">
        <v>28</v>
      </c>
      <c r="B108" s="13">
        <v>29</v>
      </c>
      <c r="C108" s="13">
        <v>30</v>
      </c>
      <c r="D108" s="13">
        <v>31</v>
      </c>
      <c r="E108" s="16"/>
      <c r="F108" s="16"/>
      <c r="G108" s="17"/>
    </row>
    <row r="109" spans="1:7" ht="30" customHeight="1">
      <c r="A109" s="14" t="str">
        <f>IFERROR(INDEX('Master Table'!$B$14:$B$31,MATCH(46474,'Master Table'!$C$14:$C$31,0)),"")</f>
        <v/>
      </c>
      <c r="B109" s="15" t="str">
        <f>IFERROR(INDEX('Master Table'!$B$14:$B$31,MATCH(46475,'Master Table'!$C$14:$C$31,0)),"")</f>
        <v/>
      </c>
      <c r="C109" s="15" t="str">
        <f>IFERROR(INDEX('Master Table'!$B$14:$B$31,MATCH(46476,'Master Table'!$C$14:$C$31,0)),"")</f>
        <v/>
      </c>
      <c r="D109" s="15" t="str">
        <f>IFERROR(INDEX('Master Table'!$B$14:$B$31,MATCH(46477,'Master Table'!$C$14:$C$31,0)),"")</f>
        <v/>
      </c>
      <c r="E109" s="15"/>
      <c r="F109" s="15"/>
      <c r="G109" s="14"/>
    </row>
    <row r="111" spans="1:7" ht="15" customHeight="1">
      <c r="A111" s="32" t="s">
        <v>100</v>
      </c>
      <c r="B111" s="32"/>
      <c r="C111" s="32"/>
      <c r="D111" s="32"/>
      <c r="E111" s="32"/>
      <c r="F111" s="32"/>
      <c r="G111" s="32"/>
    </row>
    <row r="112" spans="1:7">
      <c r="A112" s="6" t="s">
        <v>67</v>
      </c>
      <c r="B112" s="6" t="s">
        <v>68</v>
      </c>
      <c r="C112" s="6" t="s">
        <v>69</v>
      </c>
      <c r="D112" s="6" t="s">
        <v>70</v>
      </c>
      <c r="E112" s="6" t="s">
        <v>71</v>
      </c>
      <c r="F112" s="6" t="s">
        <v>72</v>
      </c>
      <c r="G112" s="6" t="s">
        <v>73</v>
      </c>
    </row>
    <row r="113" spans="1:7" ht="15" customHeight="1">
      <c r="A113" s="17"/>
      <c r="B113" s="16"/>
      <c r="C113" s="16"/>
      <c r="D113" s="16"/>
      <c r="E113" s="13">
        <v>1</v>
      </c>
      <c r="F113" s="13">
        <v>2</v>
      </c>
      <c r="G113" s="12">
        <v>3</v>
      </c>
    </row>
    <row r="114" spans="1:7" ht="30" customHeight="1">
      <c r="A114" s="14"/>
      <c r="B114" s="15"/>
      <c r="C114" s="15"/>
      <c r="D114" s="15"/>
      <c r="E114" s="15" t="str">
        <f>IFERROR(INDEX('Master Table'!$B$14:$B$31,MATCH(46478,'Master Table'!$C$14:$C$31,0)),"")</f>
        <v/>
      </c>
      <c r="F114" s="15" t="str">
        <f>IFERROR(INDEX('Master Table'!$B$14:$B$31,MATCH(46479,'Master Table'!$C$14:$C$31,0)),"")</f>
        <v/>
      </c>
      <c r="G114" s="14" t="str">
        <f>IFERROR(INDEX('Master Table'!$B$14:$B$31,MATCH(46480,'Master Table'!$C$14:$C$31,0)),"")</f>
        <v/>
      </c>
    </row>
    <row r="115" spans="1:7" ht="15" customHeight="1">
      <c r="A115" s="12">
        <v>4</v>
      </c>
      <c r="B115" s="13">
        <v>5</v>
      </c>
      <c r="C115" s="13">
        <v>6</v>
      </c>
      <c r="D115" s="13">
        <v>7</v>
      </c>
      <c r="E115" s="13">
        <v>8</v>
      </c>
      <c r="F115" s="13">
        <v>9</v>
      </c>
      <c r="G115" s="12">
        <v>10</v>
      </c>
    </row>
    <row r="116" spans="1:7" ht="30" customHeight="1">
      <c r="A116" s="20" t="s">
        <v>101</v>
      </c>
      <c r="B116" s="15" t="str">
        <f>IFERROR(INDEX('Master Table'!$B$14:$B$31,MATCH(46482,'Master Table'!$C$14:$C$31,0)),"")</f>
        <v/>
      </c>
      <c r="C116" s="15" t="str">
        <f>IFERROR(INDEX('Master Table'!$B$14:$B$31,MATCH(46483,'Master Table'!$C$14:$C$31,0)),"")</f>
        <v/>
      </c>
      <c r="D116" s="15" t="str">
        <f>IFERROR(INDEX('Master Table'!$B$14:$B$31,MATCH(46484,'Master Table'!$C$14:$C$31,0)),"")</f>
        <v/>
      </c>
      <c r="E116" s="15" t="str">
        <f>IFERROR(INDEX('Master Table'!$B$14:$B$31,MATCH(46485,'Master Table'!$C$14:$C$31,0)),"")</f>
        <v/>
      </c>
      <c r="F116" s="15" t="str">
        <f>IFERROR(INDEX('Master Table'!$B$14:$B$31,MATCH(46486,'Master Table'!$C$14:$C$31,0)),"")</f>
        <v/>
      </c>
      <c r="G116" s="14" t="str">
        <f>IFERROR(INDEX('Master Table'!$B$14:$B$31,MATCH(46487,'Master Table'!$C$14:$C$31,0)),"")</f>
        <v>Active Outing (Spring)</v>
      </c>
    </row>
    <row r="117" spans="1:7" ht="15" customHeight="1">
      <c r="A117" s="12">
        <v>11</v>
      </c>
      <c r="B117" s="13">
        <v>12</v>
      </c>
      <c r="C117" s="13">
        <v>13</v>
      </c>
      <c r="D117" s="13">
        <v>14</v>
      </c>
      <c r="E117" s="13">
        <v>15</v>
      </c>
      <c r="F117" s="13">
        <v>16</v>
      </c>
      <c r="G117" s="12">
        <v>17</v>
      </c>
    </row>
    <row r="118" spans="1:7" ht="30" customHeight="1">
      <c r="A118" s="14" t="str">
        <f>IFERROR(INDEX('Master Table'!$B$14:$B$31,MATCH(46488,'Master Table'!$C$14:$C$31,0)),"")</f>
        <v/>
      </c>
      <c r="B118" s="15" t="str">
        <f>IFERROR(INDEX('Master Table'!$B$14:$B$31,MATCH(46489,'Master Table'!$C$14:$C$31,0)),"")</f>
        <v/>
      </c>
      <c r="C118" s="15" t="str">
        <f>IFERROR(INDEX('Master Table'!$B$14:$B$31,MATCH(46490,'Master Table'!$C$14:$C$31,0)),"")</f>
        <v/>
      </c>
      <c r="D118" s="15" t="str">
        <f>IFERROR(INDEX('Master Table'!$B$14:$B$31,MATCH(46491,'Master Table'!$C$14:$C$31,0)),"")</f>
        <v/>
      </c>
      <c r="E118" s="15" t="str">
        <f>IFERROR(INDEX('Master Table'!$B$14:$B$31,MATCH(46492,'Master Table'!$C$14:$C$31,0)),"")</f>
        <v/>
      </c>
      <c r="F118" s="15" t="str">
        <f>IFERROR(INDEX('Master Table'!$B$14:$B$31,MATCH(46493,'Master Table'!$C$14:$C$31,0)),"")</f>
        <v/>
      </c>
      <c r="G118" s="14" t="str">
        <f>IFERROR(INDEX('Master Table'!$B$14:$B$31,MATCH(46494,'Master Table'!$C$14:$C$31,0)),"")</f>
        <v/>
      </c>
    </row>
    <row r="119" spans="1:7" ht="15" customHeight="1">
      <c r="A119" s="12">
        <v>18</v>
      </c>
      <c r="B119" s="13">
        <v>19</v>
      </c>
      <c r="C119" s="13">
        <v>20</v>
      </c>
      <c r="D119" s="13">
        <v>21</v>
      </c>
      <c r="E119" s="13">
        <v>22</v>
      </c>
      <c r="F119" s="13">
        <v>23</v>
      </c>
      <c r="G119" s="12">
        <v>24</v>
      </c>
    </row>
    <row r="120" spans="1:7" ht="30" customHeight="1">
      <c r="A120" s="14" t="str">
        <f>IFERROR(INDEX('Master Table'!$B$14:$B$31,MATCH(46495,'Master Table'!$C$14:$C$31,0)),"")</f>
        <v/>
      </c>
      <c r="B120" s="15" t="str">
        <f>IFERROR(INDEX('Master Table'!$B$14:$B$31,MATCH(46496,'Master Table'!$C$14:$C$31,0)),"")</f>
        <v/>
      </c>
      <c r="C120" s="15" t="str">
        <f>IFERROR(INDEX('Master Table'!$B$14:$B$31,MATCH(46497,'Master Table'!$C$14:$C$31,0)),"")</f>
        <v/>
      </c>
      <c r="D120" s="15" t="str">
        <f>IFERROR(INDEX('Master Table'!$B$14:$B$31,MATCH(46498,'Master Table'!$C$14:$C$31,0)),"")</f>
        <v/>
      </c>
      <c r="E120" s="15" t="str">
        <f>IFERROR(INDEX('Master Table'!$B$14:$B$31,MATCH(46499,'Master Table'!$C$14:$C$31,0)),"")</f>
        <v/>
      </c>
      <c r="F120" s="15" t="str">
        <f>IFERROR(INDEX('Master Table'!$B$14:$B$31,MATCH(46500,'Master Table'!$C$14:$C$31,0)),"")</f>
        <v/>
      </c>
      <c r="G120" s="14" t="str">
        <f>IFERROR(INDEX('Master Table'!$B$14:$B$31,MATCH(46501,'Master Table'!$C$14:$C$31,0)),"")</f>
        <v/>
      </c>
    </row>
    <row r="121" spans="1:7" ht="15" customHeight="1">
      <c r="A121" s="12">
        <v>25</v>
      </c>
      <c r="B121" s="13">
        <v>26</v>
      </c>
      <c r="C121" s="13">
        <v>27</v>
      </c>
      <c r="D121" s="13">
        <v>28</v>
      </c>
      <c r="E121" s="13">
        <v>29</v>
      </c>
      <c r="F121" s="13">
        <v>30</v>
      </c>
      <c r="G121" s="17"/>
    </row>
    <row r="122" spans="1:7" ht="30" customHeight="1">
      <c r="A122" s="14" t="str">
        <f>IFERROR(INDEX('Master Table'!$B$14:$B$31,MATCH(46502,'Master Table'!$C$14:$C$31,0)),"")</f>
        <v/>
      </c>
      <c r="B122" s="15" t="str">
        <f>IFERROR(INDEX('Master Table'!$B$14:$B$31,MATCH(46503,'Master Table'!$C$14:$C$31,0)),"")</f>
        <v/>
      </c>
      <c r="C122" s="15" t="str">
        <f>IFERROR(INDEX('Master Table'!$B$14:$B$31,MATCH(46504,'Master Table'!$C$14:$C$31,0)),"")</f>
        <v/>
      </c>
      <c r="D122" s="15" t="str">
        <f>IFERROR(INDEX('Master Table'!$B$14:$B$31,MATCH(46505,'Master Table'!$C$14:$C$31,0)),"")</f>
        <v/>
      </c>
      <c r="E122" s="15" t="str">
        <f>IFERROR(INDEX('Master Table'!$B$14:$B$31,MATCH(46506,'Master Table'!$C$14:$C$31,0)),"")</f>
        <v/>
      </c>
      <c r="F122" s="15" t="str">
        <f>IFERROR(INDEX('Master Table'!$B$14:$B$31,MATCH(46507,'Master Table'!$C$14:$C$31,0)),"")</f>
        <v/>
      </c>
      <c r="G122" s="14"/>
    </row>
    <row r="124" spans="1:7" ht="15" customHeight="1">
      <c r="A124" s="32" t="s">
        <v>102</v>
      </c>
      <c r="B124" s="32"/>
      <c r="C124" s="32"/>
      <c r="D124" s="32"/>
      <c r="E124" s="32"/>
      <c r="F124" s="32"/>
      <c r="G124" s="32"/>
    </row>
    <row r="125" spans="1:7">
      <c r="A125" s="6" t="s">
        <v>67</v>
      </c>
      <c r="B125" s="6" t="s">
        <v>68</v>
      </c>
      <c r="C125" s="6" t="s">
        <v>69</v>
      </c>
      <c r="D125" s="6" t="s">
        <v>70</v>
      </c>
      <c r="E125" s="6" t="s">
        <v>71</v>
      </c>
      <c r="F125" s="6" t="s">
        <v>72</v>
      </c>
      <c r="G125" s="6" t="s">
        <v>73</v>
      </c>
    </row>
    <row r="126" spans="1:7">
      <c r="A126" s="7"/>
      <c r="B126" s="8"/>
      <c r="C126" s="8"/>
      <c r="D126" s="8"/>
      <c r="E126" s="8"/>
      <c r="F126" s="8"/>
      <c r="G126" s="9">
        <v>1</v>
      </c>
    </row>
    <row r="127" spans="1:7" ht="39.950000000000003" customHeight="1">
      <c r="A127" s="10"/>
      <c r="B127" s="11"/>
      <c r="C127" s="11"/>
      <c r="D127" s="11"/>
      <c r="E127" s="11"/>
      <c r="F127" s="11"/>
      <c r="G127" s="10" t="str">
        <f>IFERROR(INDEX('Master Table'!$B$14:$B$31,MATCH(46508,'Master Table'!$C$14:$C$31,0)),"")</f>
        <v/>
      </c>
    </row>
    <row r="128" spans="1:7" ht="15" customHeight="1">
      <c r="A128" s="12">
        <v>2</v>
      </c>
      <c r="B128" s="13">
        <v>3</v>
      </c>
      <c r="C128" s="13">
        <v>4</v>
      </c>
      <c r="D128" s="13">
        <v>5</v>
      </c>
      <c r="E128" s="13">
        <v>6</v>
      </c>
      <c r="F128" s="13">
        <v>7</v>
      </c>
      <c r="G128" s="12">
        <v>8</v>
      </c>
    </row>
    <row r="129" spans="1:7" ht="30" customHeight="1">
      <c r="A129" s="14" t="str">
        <f>IFERROR(INDEX('Master Table'!$B$14:$B$31,MATCH(46509,'Master Table'!$C$14:$C$31,0)),"")</f>
        <v/>
      </c>
      <c r="B129" s="15" t="str">
        <f>IFERROR(INDEX('Master Table'!$B$14:$B$31,MATCH(46510,'Master Table'!$C$14:$C$31,0)),"")</f>
        <v/>
      </c>
      <c r="C129" s="15" t="str">
        <f>IFERROR(INDEX('Master Table'!$B$14:$B$31,MATCH(46511,'Master Table'!$C$14:$C$31,0)),"")</f>
        <v/>
      </c>
      <c r="D129" s="15" t="str">
        <f>IFERROR(INDEX('Master Table'!$B$14:$B$31,MATCH(46512,'Master Table'!$C$14:$C$31,0)),"")</f>
        <v/>
      </c>
      <c r="E129" s="15" t="str">
        <f>IFERROR(INDEX('Master Table'!$B$14:$B$31,MATCH(46513,'Master Table'!$C$14:$C$31,0)),"")</f>
        <v>EC Sendoff</v>
      </c>
      <c r="F129" s="15" t="str">
        <f>IFERROR(INDEX('Master Table'!$B$14:$B$31,MATCH(46514,'Master Table'!$C$14:$C$31,0)),"")</f>
        <v>EC Men's &amp; Women's Retreat</v>
      </c>
      <c r="G129" s="14" t="str">
        <f>IFERROR(INDEX('Master Table'!$B$14:$B$31,MATCH(46515,'Master Table'!$C$14:$C$31,0)),"")</f>
        <v/>
      </c>
    </row>
    <row r="130" spans="1:7" ht="15" customHeight="1">
      <c r="A130" s="12">
        <v>9</v>
      </c>
      <c r="B130" s="13">
        <v>10</v>
      </c>
      <c r="C130" s="13">
        <v>11</v>
      </c>
      <c r="D130" s="13">
        <v>12</v>
      </c>
      <c r="E130" s="13">
        <v>13</v>
      </c>
      <c r="F130" s="13">
        <v>14</v>
      </c>
      <c r="G130" s="12">
        <v>15</v>
      </c>
    </row>
    <row r="131" spans="1:7" ht="30" customHeight="1">
      <c r="A131" s="14" t="str">
        <f>IFERROR(INDEX('Master Table'!$B$14:$B$31,MATCH(46516,'Master Table'!$C$14:$C$31,0)),"")</f>
        <v/>
      </c>
      <c r="B131" s="15" t="str">
        <f>IFERROR(INDEX('Master Table'!$B$14:$B$31,MATCH(46517,'Master Table'!$C$14:$C$31,0)),"")</f>
        <v/>
      </c>
      <c r="C131" s="15" t="str">
        <f>IFERROR(INDEX('Master Table'!$B$14:$B$31,MATCH(46518,'Master Table'!$C$14:$C$31,0)),"")</f>
        <v/>
      </c>
      <c r="D131" s="15" t="str">
        <f>IFERROR(INDEX('Master Table'!$B$14:$B$31,MATCH(46519,'Master Table'!$C$14:$C$31,0)),"")</f>
        <v/>
      </c>
      <c r="E131" s="15" t="str">
        <f>IFERROR(INDEX('Master Table'!$B$14:$B$31,MATCH(46520,'Master Table'!$C$14:$C$31,0)),"")</f>
        <v/>
      </c>
      <c r="F131" s="19" t="s">
        <v>103</v>
      </c>
      <c r="G131" s="14" t="str">
        <f>IFERROR(INDEX('Master Table'!$B$14:$B$31,MATCH(46522,'Master Table'!$C$14:$C$31,0)),"")</f>
        <v/>
      </c>
    </row>
    <row r="132" spans="1:7" ht="15" customHeight="1">
      <c r="A132" s="12">
        <v>16</v>
      </c>
      <c r="B132" s="13">
        <v>17</v>
      </c>
      <c r="C132" s="13">
        <v>18</v>
      </c>
      <c r="D132" s="13">
        <v>19</v>
      </c>
      <c r="E132" s="13">
        <v>20</v>
      </c>
      <c r="F132" s="13">
        <v>21</v>
      </c>
      <c r="G132" s="12">
        <v>22</v>
      </c>
    </row>
    <row r="133" spans="1:7" ht="30" customHeight="1">
      <c r="A133" s="14" t="str">
        <f>IFERROR(INDEX('Master Table'!$B$14:$B$31,MATCH(46523,'Master Table'!$C$14:$C$31,0)),"")</f>
        <v/>
      </c>
      <c r="B133" s="15" t="str">
        <f>IFERROR(INDEX('Master Table'!$B$14:$B$31,MATCH(46524,'Master Table'!$C$14:$C$31,0)),"")</f>
        <v/>
      </c>
      <c r="C133" s="15" t="str">
        <f>IFERROR(INDEX('Master Table'!$B$14:$B$31,MATCH(46525,'Master Table'!$C$14:$C$31,0)),"")</f>
        <v/>
      </c>
      <c r="D133" s="15" t="str">
        <f>IFERROR(INDEX('Master Table'!$B$14:$B$31,MATCH(46526,'Master Table'!$C$14:$C$31,0)),"")</f>
        <v/>
      </c>
      <c r="E133" s="15" t="str">
        <f>IFERROR(INDEX('Master Table'!$B$14:$B$31,MATCH(46527,'Master Table'!$C$14:$C$31,0)),"")</f>
        <v/>
      </c>
      <c r="F133" s="15" t="str">
        <f>IFERROR(INDEX('Master Table'!$B$14:$B$31,MATCH(46528,'Master Table'!$C$14:$C$31,0)),"")</f>
        <v/>
      </c>
      <c r="G133" s="14" t="str">
        <f>IFERROR(INDEX('Master Table'!$B$14:$B$31,MATCH(46529,'Master Table'!$C$14:$C$31,0)),"")</f>
        <v/>
      </c>
    </row>
    <row r="134" spans="1:7" ht="15" customHeight="1">
      <c r="A134" s="12">
        <v>23</v>
      </c>
      <c r="B134" s="13">
        <v>24</v>
      </c>
      <c r="C134" s="13">
        <v>25</v>
      </c>
      <c r="D134" s="13">
        <v>26</v>
      </c>
      <c r="E134" s="13">
        <v>27</v>
      </c>
      <c r="F134" s="13">
        <v>28</v>
      </c>
      <c r="G134" s="12">
        <v>29</v>
      </c>
    </row>
    <row r="135" spans="1:7" ht="30" customHeight="1">
      <c r="A135" s="14" t="str">
        <f>IFERROR(INDEX('Master Table'!$B$14:$B$31,MATCH(46530,'Master Table'!$C$14:$C$31,0)),"")</f>
        <v/>
      </c>
      <c r="B135" s="15" t="str">
        <f>IFERROR(INDEX('Master Table'!$B$14:$B$31,MATCH(46531,'Master Table'!$C$14:$C$31,0)),"")</f>
        <v/>
      </c>
      <c r="C135" s="15" t="str">
        <f>IFERROR(INDEX('Master Table'!$B$14:$B$31,MATCH(46532,'Master Table'!$C$14:$C$31,0)),"")</f>
        <v/>
      </c>
      <c r="D135" s="15" t="str">
        <f>IFERROR(INDEX('Master Table'!$B$14:$B$31,MATCH(46533,'Master Table'!$C$14:$C$31,0)),"")</f>
        <v/>
      </c>
      <c r="E135" s="15" t="str">
        <f>IFERROR(INDEX('Master Table'!$B$14:$B$31,MATCH(46534,'Master Table'!$C$14:$C$31,0)),"")</f>
        <v/>
      </c>
      <c r="F135" s="19" t="s">
        <v>104</v>
      </c>
      <c r="G135" s="14" t="str">
        <f>IFERROR(INDEX('Master Table'!$B$14:$B$31,MATCH(46536,'Master Table'!$C$14:$C$31,0)),"")</f>
        <v/>
      </c>
    </row>
    <row r="136" spans="1:7" ht="15" customHeight="1">
      <c r="A136" s="12">
        <v>30</v>
      </c>
      <c r="B136" s="13">
        <v>31</v>
      </c>
      <c r="C136" s="16"/>
      <c r="D136" s="16"/>
      <c r="E136" s="16"/>
      <c r="F136" s="16"/>
      <c r="G136" s="17"/>
    </row>
    <row r="137" spans="1:7" ht="30" customHeight="1">
      <c r="A137" s="14" t="str">
        <f>IFERROR(INDEX('Master Table'!$B$14:$B$31,MATCH(46537,'Master Table'!$C$14:$C$31,0)),"")</f>
        <v/>
      </c>
      <c r="B137" s="19" t="s">
        <v>105</v>
      </c>
      <c r="C137" s="15"/>
      <c r="D137" s="15"/>
      <c r="E137" s="19" t="s">
        <v>106</v>
      </c>
      <c r="F137" s="15"/>
      <c r="G137" s="14"/>
    </row>
  </sheetData>
  <mergeCells count="11">
    <mergeCell ref="A124:G124"/>
    <mergeCell ref="A98:G98"/>
    <mergeCell ref="A57:G57"/>
    <mergeCell ref="A85:G85"/>
    <mergeCell ref="A111:G111"/>
    <mergeCell ref="A44:G44"/>
    <mergeCell ref="A1:G1"/>
    <mergeCell ref="A18:G18"/>
    <mergeCell ref="A70:G70"/>
    <mergeCell ref="A31:G31"/>
    <mergeCell ref="A3:G3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cp:keywords/>
  <dc:description/>
  <cp:lastModifiedBy>LinDon Harris</cp:lastModifiedBy>
  <cp:revision/>
  <dcterms:created xsi:type="dcterms:W3CDTF">2026-04-30T17:48:31Z</dcterms:created>
  <dcterms:modified xsi:type="dcterms:W3CDTF">2026-05-01T18:03:10Z</dcterms:modified>
  <cp:category/>
  <cp:contentStatus/>
</cp:coreProperties>
</file>